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Tugas Akhir Mengulang\"/>
    </mc:Choice>
  </mc:AlternateContent>
  <xr:revisionPtr revIDLastSave="0" documentId="13_ncr:1_{BB66B0B7-65A6-47CA-B0E4-D1933B673E9B}" xr6:coauthVersionLast="47" xr6:coauthVersionMax="47" xr10:uidLastSave="{00000000-0000-0000-0000-000000000000}"/>
  <bookViews>
    <workbookView xWindow="-120" yWindow="-120" windowWidth="20730" windowHeight="11760" firstSheet="5" activeTab="8" xr2:uid="{200118C3-5999-40F2-8854-C2B63376C338}"/>
  </bookViews>
  <sheets>
    <sheet name="Sheet1" sheetId="1" r:id="rId1"/>
    <sheet name="Ukuran Utama Kapal" sheetId="2" r:id="rId2"/>
    <sheet name="Hydrostatics (Maxsurf)" sheetId="3" r:id="rId3"/>
    <sheet name="Resistance (maxsurf)" sheetId="4" r:id="rId4"/>
    <sheet name="Resistance (Manual)" sheetId="5" r:id="rId5"/>
    <sheet name="Estimasi DWT" sheetId="6" r:id="rId6"/>
    <sheet name="Estimasi LWT" sheetId="7" r:id="rId7"/>
    <sheet name="INPUT STABILITY MAXSURF" sheetId="9" r:id="rId8"/>
    <sheet name="LOADCASE" sheetId="12" r:id="rId9"/>
    <sheet name="GRAFIK STABILITAS" sheetId="19" r:id="rId10"/>
    <sheet name="LOADCASE I" sheetId="13" r:id="rId11"/>
    <sheet name="LOADCASE II" sheetId="14" r:id="rId12"/>
    <sheet name="LOADCASE III" sheetId="15" r:id="rId13"/>
    <sheet name="LOADCASE IV" sheetId="17" r:id="rId14"/>
    <sheet name="LOADCASE V" sheetId="18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7" l="1"/>
  <c r="G15" i="17"/>
  <c r="Y97" i="6"/>
  <c r="R97" i="6"/>
  <c r="I16" i="18"/>
  <c r="I15" i="18"/>
  <c r="I14" i="18"/>
  <c r="I13" i="18"/>
  <c r="I12" i="18"/>
  <c r="I11" i="18"/>
  <c r="I10" i="18"/>
  <c r="I9" i="18"/>
  <c r="I8" i="18"/>
  <c r="I7" i="18"/>
  <c r="I6" i="18"/>
  <c r="I16" i="17"/>
  <c r="I15" i="17"/>
  <c r="I14" i="17"/>
  <c r="I13" i="17"/>
  <c r="I12" i="17"/>
  <c r="I11" i="17"/>
  <c r="I10" i="17"/>
  <c r="I9" i="17"/>
  <c r="I8" i="17"/>
  <c r="I7" i="17"/>
  <c r="I6" i="17"/>
  <c r="I16" i="15"/>
  <c r="I15" i="15"/>
  <c r="I14" i="15"/>
  <c r="I13" i="15"/>
  <c r="I12" i="15"/>
  <c r="I11" i="15"/>
  <c r="I10" i="15"/>
  <c r="I9" i="15"/>
  <c r="I8" i="15"/>
  <c r="I7" i="15"/>
  <c r="I6" i="15"/>
  <c r="I16" i="14"/>
  <c r="I15" i="14"/>
  <c r="I14" i="14"/>
  <c r="J14" i="14" s="1"/>
  <c r="I13" i="14"/>
  <c r="J13" i="14" s="1"/>
  <c r="I12" i="14"/>
  <c r="I11" i="14"/>
  <c r="I10" i="14"/>
  <c r="I9" i="14"/>
  <c r="I8" i="14"/>
  <c r="J8" i="14" s="1"/>
  <c r="I7" i="14"/>
  <c r="J7" i="14" s="1"/>
  <c r="I6" i="14"/>
  <c r="I15" i="13"/>
  <c r="I16" i="13"/>
  <c r="I14" i="13"/>
  <c r="I13" i="13"/>
  <c r="I12" i="13"/>
  <c r="I11" i="13"/>
  <c r="I10" i="13"/>
  <c r="I9" i="13"/>
  <c r="I8" i="13"/>
  <c r="I7" i="13"/>
  <c r="I6" i="13"/>
  <c r="J6" i="13" s="1"/>
  <c r="T12" i="12"/>
  <c r="S12" i="12"/>
  <c r="R12" i="12"/>
  <c r="T11" i="12"/>
  <c r="S11" i="12"/>
  <c r="R11" i="12"/>
  <c r="T10" i="12"/>
  <c r="S10" i="12"/>
  <c r="R10" i="12"/>
  <c r="R7" i="12"/>
  <c r="R50" i="9"/>
  <c r="N16" i="12"/>
  <c r="O16" i="12"/>
  <c r="N15" i="12"/>
  <c r="O15" i="12"/>
  <c r="N14" i="12"/>
  <c r="O14" i="12"/>
  <c r="N13" i="12"/>
  <c r="O13" i="12"/>
  <c r="N12" i="12"/>
  <c r="O12" i="12"/>
  <c r="N11" i="12"/>
  <c r="O11" i="12"/>
  <c r="N10" i="12"/>
  <c r="O10" i="12"/>
  <c r="N9" i="12"/>
  <c r="N8" i="12"/>
  <c r="N7" i="12"/>
  <c r="O8" i="12"/>
  <c r="O7" i="12"/>
  <c r="O6" i="12"/>
  <c r="F63" i="9"/>
  <c r="Q13" i="9"/>
  <c r="T62" i="9"/>
  <c r="S62" i="9"/>
  <c r="R62" i="9"/>
  <c r="P54" i="9"/>
  <c r="R51" i="9"/>
  <c r="T51" i="9" s="1"/>
  <c r="T50" i="9"/>
  <c r="Q36" i="9"/>
  <c r="Q37" i="9" s="1"/>
  <c r="Q38" i="9" s="1"/>
  <c r="Q39" i="9" s="1"/>
  <c r="Q40" i="9" s="1"/>
  <c r="Q41" i="9" s="1"/>
  <c r="Q42" i="9" s="1"/>
  <c r="Y64" i="6"/>
  <c r="Y62" i="6"/>
  <c r="T27" i="9"/>
  <c r="S26" i="9"/>
  <c r="R26" i="9"/>
  <c r="T25" i="9"/>
  <c r="T26" i="9" s="1"/>
  <c r="T28" i="9"/>
  <c r="Q27" i="9"/>
  <c r="Q28" i="9" s="1"/>
  <c r="Q25" i="9"/>
  <c r="Q26" i="9" s="1"/>
  <c r="P16" i="9"/>
  <c r="E8" i="7"/>
  <c r="P13" i="9" s="1"/>
  <c r="P12" i="9"/>
  <c r="Q124" i="7"/>
  <c r="Q101" i="7"/>
  <c r="G16" i="18"/>
  <c r="E16" i="18"/>
  <c r="J16" i="18" s="1"/>
  <c r="G15" i="18"/>
  <c r="E15" i="18"/>
  <c r="J15" i="18" s="1"/>
  <c r="G14" i="18"/>
  <c r="E14" i="18"/>
  <c r="J14" i="18" s="1"/>
  <c r="G13" i="18"/>
  <c r="E13" i="18"/>
  <c r="J13" i="18" s="1"/>
  <c r="G12" i="18"/>
  <c r="E12" i="18"/>
  <c r="J12" i="18" s="1"/>
  <c r="G11" i="18"/>
  <c r="E11" i="18"/>
  <c r="G10" i="18"/>
  <c r="E10" i="18"/>
  <c r="G9" i="18"/>
  <c r="E9" i="18"/>
  <c r="G8" i="18"/>
  <c r="E8" i="18"/>
  <c r="G7" i="18"/>
  <c r="E7" i="18"/>
  <c r="G6" i="18"/>
  <c r="E6" i="18"/>
  <c r="J6" i="18" s="1"/>
  <c r="G16" i="17"/>
  <c r="E16" i="17"/>
  <c r="J16" i="17" s="1"/>
  <c r="E15" i="17"/>
  <c r="J15" i="17" s="1"/>
  <c r="G14" i="17"/>
  <c r="E14" i="17"/>
  <c r="G13" i="17"/>
  <c r="E13" i="17"/>
  <c r="G12" i="17"/>
  <c r="E12" i="17"/>
  <c r="G11" i="17"/>
  <c r="E11" i="17"/>
  <c r="J11" i="17" s="1"/>
  <c r="G10" i="17"/>
  <c r="H10" i="17" s="1"/>
  <c r="E10" i="17"/>
  <c r="J10" i="17" s="1"/>
  <c r="G9" i="17"/>
  <c r="E9" i="17"/>
  <c r="J9" i="17" s="1"/>
  <c r="G8" i="17"/>
  <c r="E8" i="17"/>
  <c r="G7" i="17"/>
  <c r="E7" i="17"/>
  <c r="G6" i="17"/>
  <c r="E6" i="17"/>
  <c r="G16" i="15"/>
  <c r="E16" i="15"/>
  <c r="J16" i="15" s="1"/>
  <c r="G15" i="15"/>
  <c r="E15" i="15"/>
  <c r="J15" i="15" s="1"/>
  <c r="G14" i="15"/>
  <c r="E14" i="15"/>
  <c r="J14" i="15" s="1"/>
  <c r="G13" i="15"/>
  <c r="E13" i="15"/>
  <c r="J13" i="15" s="1"/>
  <c r="G12" i="15"/>
  <c r="H12" i="15" s="1"/>
  <c r="E12" i="15"/>
  <c r="J12" i="15" s="1"/>
  <c r="G11" i="15"/>
  <c r="E11" i="15"/>
  <c r="J11" i="15" s="1"/>
  <c r="G10" i="15"/>
  <c r="E10" i="15"/>
  <c r="J10" i="15" s="1"/>
  <c r="G9" i="15"/>
  <c r="E9" i="15"/>
  <c r="H9" i="15" s="1"/>
  <c r="G8" i="15"/>
  <c r="H8" i="15" s="1"/>
  <c r="E8" i="15"/>
  <c r="J8" i="15" s="1"/>
  <c r="G7" i="15"/>
  <c r="E7" i="15"/>
  <c r="J7" i="15" s="1"/>
  <c r="G6" i="15"/>
  <c r="E6" i="15"/>
  <c r="AF29" i="6"/>
  <c r="AF28" i="6"/>
  <c r="H25" i="9"/>
  <c r="H26" i="9" s="1"/>
  <c r="AK25" i="6"/>
  <c r="AF25" i="6"/>
  <c r="AK11" i="6"/>
  <c r="AL11" i="6"/>
  <c r="AL10" i="6"/>
  <c r="AK10" i="6"/>
  <c r="AK8" i="6"/>
  <c r="AK15" i="6"/>
  <c r="AF23" i="6"/>
  <c r="AF22" i="6"/>
  <c r="AF21" i="6"/>
  <c r="AF19" i="6"/>
  <c r="AF11" i="6"/>
  <c r="AF15" i="6"/>
  <c r="AG10" i="6"/>
  <c r="AF10" i="6"/>
  <c r="AF8" i="6"/>
  <c r="D140" i="4"/>
  <c r="D139" i="4"/>
  <c r="E16" i="14"/>
  <c r="E15" i="14"/>
  <c r="E14" i="14"/>
  <c r="E13" i="14"/>
  <c r="E12" i="14"/>
  <c r="E11" i="14"/>
  <c r="E10" i="14"/>
  <c r="E9" i="14"/>
  <c r="H9" i="14" s="1"/>
  <c r="E8" i="14"/>
  <c r="E7" i="14"/>
  <c r="E6" i="14"/>
  <c r="E15" i="13"/>
  <c r="J15" i="13" s="1"/>
  <c r="E16" i="13"/>
  <c r="J16" i="13" s="1"/>
  <c r="E14" i="13"/>
  <c r="E13" i="13"/>
  <c r="E12" i="13"/>
  <c r="E11" i="13"/>
  <c r="E10" i="13"/>
  <c r="E9" i="13"/>
  <c r="E8" i="13"/>
  <c r="E7" i="13"/>
  <c r="E6" i="13"/>
  <c r="G6" i="14"/>
  <c r="G7" i="14"/>
  <c r="G8" i="14"/>
  <c r="G9" i="14"/>
  <c r="G10" i="14"/>
  <c r="G11" i="14"/>
  <c r="G12" i="14"/>
  <c r="G13" i="14"/>
  <c r="G14" i="14"/>
  <c r="G15" i="14"/>
  <c r="G16" i="14"/>
  <c r="H16" i="14" s="1"/>
  <c r="J16" i="14"/>
  <c r="J15" i="14"/>
  <c r="H8" i="14"/>
  <c r="G16" i="13"/>
  <c r="G15" i="13"/>
  <c r="G14" i="13"/>
  <c r="G13" i="13"/>
  <c r="G12" i="13"/>
  <c r="G11" i="13"/>
  <c r="G10" i="13"/>
  <c r="G9" i="13"/>
  <c r="H9" i="13" s="1"/>
  <c r="G8" i="13"/>
  <c r="G7" i="13"/>
  <c r="H7" i="13" s="1"/>
  <c r="H15" i="13"/>
  <c r="G6" i="13"/>
  <c r="J83" i="7"/>
  <c r="H62" i="9"/>
  <c r="E19" i="12"/>
  <c r="D19" i="12"/>
  <c r="E18" i="12"/>
  <c r="D18" i="12"/>
  <c r="E17" i="12"/>
  <c r="D17" i="12"/>
  <c r="E16" i="12"/>
  <c r="D16" i="12"/>
  <c r="E15" i="12"/>
  <c r="D15" i="12"/>
  <c r="E14" i="12"/>
  <c r="D14" i="12"/>
  <c r="E13" i="12"/>
  <c r="E12" i="12"/>
  <c r="E11" i="12"/>
  <c r="D13" i="12"/>
  <c r="D12" i="12"/>
  <c r="D11" i="12"/>
  <c r="D10" i="12"/>
  <c r="D9" i="12"/>
  <c r="D8" i="12"/>
  <c r="D7" i="12"/>
  <c r="D16" i="9"/>
  <c r="F62" i="9" s="1"/>
  <c r="F52" i="9"/>
  <c r="H52" i="9" s="1"/>
  <c r="F51" i="9"/>
  <c r="H51" i="9" s="1"/>
  <c r="F49" i="9"/>
  <c r="H49" i="9" s="1"/>
  <c r="R28" i="6"/>
  <c r="Y10" i="6"/>
  <c r="R10" i="6"/>
  <c r="G142" i="4"/>
  <c r="D131" i="4"/>
  <c r="D132" i="4"/>
  <c r="D136" i="4"/>
  <c r="D137" i="4"/>
  <c r="D138" i="4"/>
  <c r="D13" i="9"/>
  <c r="D7" i="9"/>
  <c r="F7" i="9" s="1"/>
  <c r="J81" i="7"/>
  <c r="J68" i="7"/>
  <c r="Y75" i="6"/>
  <c r="Y99" i="6"/>
  <c r="E36" i="9"/>
  <c r="E37" i="9" s="1"/>
  <c r="C13" i="9"/>
  <c r="O13" i="9" s="1"/>
  <c r="C12" i="9"/>
  <c r="O12" i="9" s="1"/>
  <c r="C11" i="9"/>
  <c r="O11" i="9" s="1"/>
  <c r="D169" i="4"/>
  <c r="C7" i="7"/>
  <c r="D175" i="4" s="1"/>
  <c r="E27" i="9"/>
  <c r="E25" i="9"/>
  <c r="E7" i="7"/>
  <c r="Q139" i="7"/>
  <c r="Q137" i="7"/>
  <c r="Q64" i="7"/>
  <c r="Q72" i="7" s="1"/>
  <c r="Q99" i="7"/>
  <c r="T145" i="2"/>
  <c r="Y74" i="6"/>
  <c r="Y26" i="6"/>
  <c r="Y43" i="6" s="1"/>
  <c r="R101" i="6"/>
  <c r="R74" i="6"/>
  <c r="R77" i="6" s="1"/>
  <c r="R26" i="6"/>
  <c r="R43" i="6" s="1"/>
  <c r="R60" i="6" s="1"/>
  <c r="R15" i="6"/>
  <c r="R32" i="6" s="1"/>
  <c r="R49" i="6" s="1"/>
  <c r="R66" i="6" s="1"/>
  <c r="D142" i="4"/>
  <c r="G132" i="4"/>
  <c r="J165" i="4"/>
  <c r="J164" i="4"/>
  <c r="J159" i="4"/>
  <c r="J158" i="4"/>
  <c r="G131" i="4"/>
  <c r="G137" i="4" s="1"/>
  <c r="O29" i="5"/>
  <c r="G29" i="5"/>
  <c r="P68" i="5"/>
  <c r="L70" i="5"/>
  <c r="L25" i="5"/>
  <c r="L21" i="5"/>
  <c r="L17" i="5"/>
  <c r="L53" i="5"/>
  <c r="H68" i="5"/>
  <c r="D70" i="5"/>
  <c r="D53" i="5"/>
  <c r="D25" i="5"/>
  <c r="D21" i="5"/>
  <c r="D17" i="5"/>
  <c r="D15" i="5"/>
  <c r="L15" i="5" s="1"/>
  <c r="AC195" i="4"/>
  <c r="AC181" i="4"/>
  <c r="AC167" i="4"/>
  <c r="AC153" i="4"/>
  <c r="AC139" i="4"/>
  <c r="AC125" i="4"/>
  <c r="AC111" i="4"/>
  <c r="AC97" i="4"/>
  <c r="G136" i="4"/>
  <c r="AC83" i="4"/>
  <c r="AC69" i="4"/>
  <c r="AA139" i="2"/>
  <c r="T139" i="2" s="1"/>
  <c r="P67" i="5" s="1"/>
  <c r="L139" i="2"/>
  <c r="E139" i="2" s="1"/>
  <c r="T149" i="2"/>
  <c r="K58" i="5" s="1"/>
  <c r="K63" i="5" s="1"/>
  <c r="E148" i="2"/>
  <c r="C58" i="5" s="1"/>
  <c r="C63" i="5" s="1"/>
  <c r="Y154" i="2"/>
  <c r="T151" i="2" s="1"/>
  <c r="T55" i="7" s="1"/>
  <c r="J153" i="2"/>
  <c r="E150" i="2" s="1"/>
  <c r="AB7" i="2"/>
  <c r="AB8" i="2"/>
  <c r="AB9" i="2"/>
  <c r="AB10" i="2"/>
  <c r="AB11" i="2"/>
  <c r="AB12" i="2"/>
  <c r="AB13" i="2"/>
  <c r="AB14" i="2"/>
  <c r="AB15" i="2"/>
  <c r="AB6" i="2"/>
  <c r="M7" i="2"/>
  <c r="M8" i="2"/>
  <c r="M9" i="2"/>
  <c r="M10" i="2"/>
  <c r="M11" i="2"/>
  <c r="M12" i="2"/>
  <c r="M13" i="2"/>
  <c r="M14" i="2"/>
  <c r="M15" i="2"/>
  <c r="M6" i="2"/>
  <c r="M195" i="4"/>
  <c r="M181" i="4"/>
  <c r="M167" i="4"/>
  <c r="M153" i="4"/>
  <c r="M139" i="4"/>
  <c r="M125" i="4"/>
  <c r="M111" i="4"/>
  <c r="M97" i="4"/>
  <c r="M83" i="4"/>
  <c r="M69" i="4"/>
  <c r="C4" i="4"/>
  <c r="Y152" i="2"/>
  <c r="T147" i="2" s="1"/>
  <c r="Q42" i="7" s="1"/>
  <c r="J151" i="2"/>
  <c r="E146" i="2" s="1"/>
  <c r="J42" i="7" s="1"/>
  <c r="I58" i="2"/>
  <c r="T150" i="2"/>
  <c r="E149" i="2"/>
  <c r="D55" i="9" s="1"/>
  <c r="G62" i="9" s="1"/>
  <c r="D116" i="2"/>
  <c r="S116" i="2"/>
  <c r="T6" i="2"/>
  <c r="T20" i="2" s="1"/>
  <c r="V20" i="2" s="1"/>
  <c r="U6" i="2"/>
  <c r="V6" i="2"/>
  <c r="U20" i="2" s="1"/>
  <c r="W6" i="2"/>
  <c r="X6" i="2"/>
  <c r="U68" i="2" s="1"/>
  <c r="Y6" i="2"/>
  <c r="Z6" i="2"/>
  <c r="T7" i="2"/>
  <c r="T21" i="2" s="1"/>
  <c r="U7" i="2"/>
  <c r="V7" i="2"/>
  <c r="U21" i="2" s="1"/>
  <c r="X21" i="2" s="1"/>
  <c r="W7" i="2"/>
  <c r="U45" i="2" s="1"/>
  <c r="X45" i="2" s="1"/>
  <c r="X7" i="2"/>
  <c r="U69" i="2" s="1"/>
  <c r="X69" i="2" s="1"/>
  <c r="Y7" i="2"/>
  <c r="U93" i="2" s="1"/>
  <c r="X93" i="2" s="1"/>
  <c r="Z7" i="2"/>
  <c r="T8" i="2"/>
  <c r="T94" i="2" s="1"/>
  <c r="U8" i="2"/>
  <c r="V8" i="2"/>
  <c r="W8" i="2"/>
  <c r="U46" i="2" s="1"/>
  <c r="X46" i="2" s="1"/>
  <c r="X8" i="2"/>
  <c r="U70" i="2" s="1"/>
  <c r="X70" i="2" s="1"/>
  <c r="Y8" i="2"/>
  <c r="U94" i="2" s="1"/>
  <c r="X94" i="2" s="1"/>
  <c r="Z8" i="2"/>
  <c r="T9" i="2"/>
  <c r="T71" i="2" s="1"/>
  <c r="U9" i="2"/>
  <c r="V9" i="2"/>
  <c r="U23" i="2" s="1"/>
  <c r="X23" i="2" s="1"/>
  <c r="W9" i="2"/>
  <c r="U47" i="2" s="1"/>
  <c r="X47" i="2" s="1"/>
  <c r="X9" i="2"/>
  <c r="Y9" i="2"/>
  <c r="U95" i="2" s="1"/>
  <c r="X95" i="2" s="1"/>
  <c r="Z9" i="2"/>
  <c r="T10" i="2"/>
  <c r="T72" i="2" s="1"/>
  <c r="U10" i="2"/>
  <c r="V10" i="2"/>
  <c r="U24" i="2" s="1"/>
  <c r="X24" i="2" s="1"/>
  <c r="W10" i="2"/>
  <c r="U48" i="2" s="1"/>
  <c r="X48" i="2" s="1"/>
  <c r="X10" i="2"/>
  <c r="U72" i="2" s="1"/>
  <c r="X72" i="2" s="1"/>
  <c r="Y10" i="2"/>
  <c r="U96" i="2" s="1"/>
  <c r="X96" i="2" s="1"/>
  <c r="Z10" i="2"/>
  <c r="T11" i="2"/>
  <c r="T73" i="2" s="1"/>
  <c r="V73" i="2" s="1"/>
  <c r="U11" i="2"/>
  <c r="V11" i="2"/>
  <c r="U25" i="2" s="1"/>
  <c r="X25" i="2" s="1"/>
  <c r="W11" i="2"/>
  <c r="U49" i="2" s="1"/>
  <c r="X49" i="2" s="1"/>
  <c r="X11" i="2"/>
  <c r="U73" i="2" s="1"/>
  <c r="X73" i="2" s="1"/>
  <c r="Y11" i="2"/>
  <c r="U97" i="2" s="1"/>
  <c r="X97" i="2" s="1"/>
  <c r="Z11" i="2"/>
  <c r="T12" i="2"/>
  <c r="T26" i="2" s="1"/>
  <c r="U12" i="2"/>
  <c r="V12" i="2"/>
  <c r="W12" i="2"/>
  <c r="U50" i="2" s="1"/>
  <c r="X50" i="2" s="1"/>
  <c r="X12" i="2"/>
  <c r="U74" i="2" s="1"/>
  <c r="X74" i="2" s="1"/>
  <c r="Y12" i="2"/>
  <c r="U98" i="2" s="1"/>
  <c r="X98" i="2" s="1"/>
  <c r="Z12" i="2"/>
  <c r="T13" i="2"/>
  <c r="T51" i="2" s="1"/>
  <c r="U13" i="2"/>
  <c r="V13" i="2"/>
  <c r="U27" i="2" s="1"/>
  <c r="X27" i="2" s="1"/>
  <c r="W13" i="2"/>
  <c r="U51" i="2" s="1"/>
  <c r="X51" i="2" s="1"/>
  <c r="X13" i="2"/>
  <c r="U75" i="2" s="1"/>
  <c r="X75" i="2" s="1"/>
  <c r="Y13" i="2"/>
  <c r="U99" i="2" s="1"/>
  <c r="X99" i="2" s="1"/>
  <c r="Z13" i="2"/>
  <c r="T14" i="2"/>
  <c r="T76" i="2" s="1"/>
  <c r="U14" i="2"/>
  <c r="V14" i="2"/>
  <c r="U28" i="2" s="1"/>
  <c r="X28" i="2" s="1"/>
  <c r="W14" i="2"/>
  <c r="X14" i="2"/>
  <c r="U76" i="2" s="1"/>
  <c r="X76" i="2" s="1"/>
  <c r="Y14" i="2"/>
  <c r="U100" i="2" s="1"/>
  <c r="X100" i="2" s="1"/>
  <c r="Z14" i="2"/>
  <c r="T15" i="2"/>
  <c r="T101" i="2" s="1"/>
  <c r="U15" i="2"/>
  <c r="V15" i="2"/>
  <c r="U29" i="2" s="1"/>
  <c r="X29" i="2" s="1"/>
  <c r="W15" i="2"/>
  <c r="U53" i="2" s="1"/>
  <c r="X53" i="2" s="1"/>
  <c r="X15" i="2"/>
  <c r="U77" i="2" s="1"/>
  <c r="X77" i="2" s="1"/>
  <c r="Y15" i="2"/>
  <c r="U101" i="2" s="1"/>
  <c r="X101" i="2" s="1"/>
  <c r="Z15" i="2"/>
  <c r="S7" i="2"/>
  <c r="S118" i="2" s="1"/>
  <c r="S8" i="2"/>
  <c r="S119" i="2" s="1"/>
  <c r="S9" i="2"/>
  <c r="S120" i="2" s="1"/>
  <c r="S10" i="2"/>
  <c r="S121" i="2" s="1"/>
  <c r="S11" i="2"/>
  <c r="S122" i="2" s="1"/>
  <c r="S12" i="2"/>
  <c r="S123" i="2" s="1"/>
  <c r="S13" i="2"/>
  <c r="S124" i="2" s="1"/>
  <c r="S14" i="2"/>
  <c r="S125" i="2" s="1"/>
  <c r="S15" i="2"/>
  <c r="S126" i="2" s="1"/>
  <c r="S6" i="2"/>
  <c r="S117" i="2" s="1"/>
  <c r="E6" i="2"/>
  <c r="E68" i="2" s="1"/>
  <c r="F6" i="2"/>
  <c r="G6" i="2"/>
  <c r="F20" i="2" s="1"/>
  <c r="I20" i="2" s="1"/>
  <c r="H6" i="2"/>
  <c r="I6" i="2"/>
  <c r="F68" i="2" s="1"/>
  <c r="J6" i="2"/>
  <c r="F92" i="2" s="1"/>
  <c r="K6" i="2"/>
  <c r="E7" i="2"/>
  <c r="E21" i="2" s="1"/>
  <c r="G21" i="2" s="1"/>
  <c r="F7" i="2"/>
  <c r="G7" i="2"/>
  <c r="F21" i="2" s="1"/>
  <c r="I21" i="2" s="1"/>
  <c r="H7" i="2"/>
  <c r="I7" i="2"/>
  <c r="F69" i="2" s="1"/>
  <c r="I69" i="2" s="1"/>
  <c r="J7" i="2"/>
  <c r="F93" i="2" s="1"/>
  <c r="I93" i="2" s="1"/>
  <c r="K7" i="2"/>
  <c r="E8" i="2"/>
  <c r="E22" i="2" s="1"/>
  <c r="G22" i="2" s="1"/>
  <c r="F8" i="2"/>
  <c r="G8" i="2"/>
  <c r="F22" i="2" s="1"/>
  <c r="I22" i="2" s="1"/>
  <c r="H8" i="2"/>
  <c r="I8" i="2"/>
  <c r="F70" i="2" s="1"/>
  <c r="I70" i="2" s="1"/>
  <c r="J8" i="2"/>
  <c r="K8" i="2"/>
  <c r="E9" i="2"/>
  <c r="E23" i="2" s="1"/>
  <c r="F9" i="2"/>
  <c r="G9" i="2"/>
  <c r="F23" i="2" s="1"/>
  <c r="I23" i="2" s="1"/>
  <c r="H9" i="2"/>
  <c r="F47" i="2" s="1"/>
  <c r="I47" i="2" s="1"/>
  <c r="I9" i="2"/>
  <c r="F71" i="2" s="1"/>
  <c r="I71" i="2" s="1"/>
  <c r="J9" i="2"/>
  <c r="F95" i="2" s="1"/>
  <c r="I95" i="2" s="1"/>
  <c r="K9" i="2"/>
  <c r="E10" i="2"/>
  <c r="E48" i="2" s="1"/>
  <c r="F10" i="2"/>
  <c r="G10" i="2"/>
  <c r="F24" i="2" s="1"/>
  <c r="I24" i="2" s="1"/>
  <c r="H10" i="2"/>
  <c r="F48" i="2" s="1"/>
  <c r="I48" i="2" s="1"/>
  <c r="I10" i="2"/>
  <c r="F72" i="2" s="1"/>
  <c r="I72" i="2" s="1"/>
  <c r="J10" i="2"/>
  <c r="K10" i="2"/>
  <c r="E11" i="2"/>
  <c r="E25" i="2" s="1"/>
  <c r="F11" i="2"/>
  <c r="G11" i="2"/>
  <c r="F25" i="2" s="1"/>
  <c r="I25" i="2" s="1"/>
  <c r="H11" i="2"/>
  <c r="F49" i="2" s="1"/>
  <c r="I49" i="2" s="1"/>
  <c r="I11" i="2"/>
  <c r="F73" i="2" s="1"/>
  <c r="I73" i="2" s="1"/>
  <c r="J11" i="2"/>
  <c r="F97" i="2" s="1"/>
  <c r="I97" i="2" s="1"/>
  <c r="K11" i="2"/>
  <c r="E12" i="2"/>
  <c r="E26" i="2" s="1"/>
  <c r="F12" i="2"/>
  <c r="G12" i="2"/>
  <c r="F26" i="2" s="1"/>
  <c r="I26" i="2" s="1"/>
  <c r="H12" i="2"/>
  <c r="F50" i="2" s="1"/>
  <c r="I50" i="2" s="1"/>
  <c r="I12" i="2"/>
  <c r="F74" i="2" s="1"/>
  <c r="I74" i="2" s="1"/>
  <c r="J12" i="2"/>
  <c r="F98" i="2" s="1"/>
  <c r="I98" i="2" s="1"/>
  <c r="K12" i="2"/>
  <c r="E13" i="2"/>
  <c r="E51" i="2" s="1"/>
  <c r="F13" i="2"/>
  <c r="G13" i="2"/>
  <c r="H13" i="2"/>
  <c r="F51" i="2" s="1"/>
  <c r="I51" i="2" s="1"/>
  <c r="I13" i="2"/>
  <c r="F75" i="2" s="1"/>
  <c r="I75" i="2" s="1"/>
  <c r="J13" i="2"/>
  <c r="F99" i="2" s="1"/>
  <c r="I99" i="2" s="1"/>
  <c r="K13" i="2"/>
  <c r="E14" i="2"/>
  <c r="E52" i="2" s="1"/>
  <c r="F14" i="2"/>
  <c r="G14" i="2"/>
  <c r="F28" i="2" s="1"/>
  <c r="I28" i="2" s="1"/>
  <c r="H14" i="2"/>
  <c r="F52" i="2" s="1"/>
  <c r="I52" i="2" s="1"/>
  <c r="I14" i="2"/>
  <c r="F76" i="2" s="1"/>
  <c r="J14" i="2"/>
  <c r="F100" i="2" s="1"/>
  <c r="K14" i="2"/>
  <c r="E15" i="2"/>
  <c r="E29" i="2" s="1"/>
  <c r="F15" i="2"/>
  <c r="G15" i="2"/>
  <c r="H15" i="2"/>
  <c r="F53" i="2" s="1"/>
  <c r="I15" i="2"/>
  <c r="F77" i="2" s="1"/>
  <c r="I77" i="2" s="1"/>
  <c r="J15" i="2"/>
  <c r="F101" i="2" s="1"/>
  <c r="I101" i="2" s="1"/>
  <c r="K15" i="2"/>
  <c r="D7" i="2"/>
  <c r="D118" i="2" s="1"/>
  <c r="D8" i="2"/>
  <c r="D119" i="2" s="1"/>
  <c r="D9" i="2"/>
  <c r="D120" i="2" s="1"/>
  <c r="D10" i="2"/>
  <c r="D121" i="2" s="1"/>
  <c r="D11" i="2"/>
  <c r="D122" i="2" s="1"/>
  <c r="D12" i="2"/>
  <c r="D123" i="2" s="1"/>
  <c r="D13" i="2"/>
  <c r="D124" i="2" s="1"/>
  <c r="D14" i="2"/>
  <c r="D125" i="2" s="1"/>
  <c r="D15" i="2"/>
  <c r="D126" i="2" s="1"/>
  <c r="D6" i="2"/>
  <c r="D117" i="2" s="1"/>
  <c r="D37" i="1"/>
  <c r="D36" i="1"/>
  <c r="J12" i="17" l="1"/>
  <c r="J13" i="17"/>
  <c r="J14" i="17"/>
  <c r="J10" i="18"/>
  <c r="J8" i="18"/>
  <c r="J9" i="18"/>
  <c r="J7" i="18"/>
  <c r="J11" i="18"/>
  <c r="J7" i="17"/>
  <c r="J6" i="17"/>
  <c r="J8" i="17"/>
  <c r="J6" i="15"/>
  <c r="J12" i="14"/>
  <c r="J11" i="14"/>
  <c r="J6" i="14"/>
  <c r="J10" i="14"/>
  <c r="J10" i="13"/>
  <c r="J12" i="13"/>
  <c r="J13" i="13"/>
  <c r="J7" i="13"/>
  <c r="J11" i="13"/>
  <c r="J9" i="13"/>
  <c r="J8" i="13"/>
  <c r="H10" i="18"/>
  <c r="H11" i="18"/>
  <c r="H14" i="18"/>
  <c r="H7" i="18"/>
  <c r="H15" i="18"/>
  <c r="V25" i="9"/>
  <c r="P7" i="9"/>
  <c r="V26" i="9"/>
  <c r="U26" i="9"/>
  <c r="V28" i="9"/>
  <c r="U28" i="9"/>
  <c r="U27" i="9"/>
  <c r="V27" i="9"/>
  <c r="U25" i="9"/>
  <c r="H16" i="18"/>
  <c r="H13" i="17"/>
  <c r="H6" i="17"/>
  <c r="H14" i="17"/>
  <c r="H7" i="17"/>
  <c r="H15" i="17"/>
  <c r="H8" i="17"/>
  <c r="H16" i="17"/>
  <c r="H6" i="15"/>
  <c r="H7" i="15"/>
  <c r="H15" i="15"/>
  <c r="H16" i="15"/>
  <c r="J9" i="14"/>
  <c r="H12" i="13"/>
  <c r="H11" i="13"/>
  <c r="H10" i="13"/>
  <c r="H8" i="13"/>
  <c r="H16" i="13"/>
  <c r="R7" i="9"/>
  <c r="E7" i="12"/>
  <c r="E8" i="12"/>
  <c r="E9" i="12"/>
  <c r="H12" i="18"/>
  <c r="H6" i="18"/>
  <c r="H13" i="18"/>
  <c r="H8" i="18"/>
  <c r="H9" i="18"/>
  <c r="H11" i="17"/>
  <c r="H12" i="17"/>
  <c r="H9" i="17"/>
  <c r="H11" i="15"/>
  <c r="H13" i="15"/>
  <c r="H14" i="15"/>
  <c r="H10" i="15"/>
  <c r="J9" i="15"/>
  <c r="H15" i="14"/>
  <c r="H14" i="14"/>
  <c r="H13" i="14"/>
  <c r="H12" i="14"/>
  <c r="H11" i="14"/>
  <c r="H10" i="14"/>
  <c r="H14" i="13"/>
  <c r="AK19" i="6"/>
  <c r="AK22" i="6" s="1"/>
  <c r="AK21" i="6"/>
  <c r="J14" i="13"/>
  <c r="H6" i="13"/>
  <c r="H13" i="13"/>
  <c r="H7" i="14"/>
  <c r="H6" i="14"/>
  <c r="Y28" i="6"/>
  <c r="Y45" i="6" s="1"/>
  <c r="R45" i="6"/>
  <c r="R51" i="6" s="1"/>
  <c r="R52" i="6" s="1"/>
  <c r="L23" i="5"/>
  <c r="G55" i="7"/>
  <c r="C22" i="6"/>
  <c r="C8" i="6" s="1"/>
  <c r="D23" i="5"/>
  <c r="H67" i="5"/>
  <c r="D177" i="4"/>
  <c r="E38" i="9"/>
  <c r="Y77" i="6"/>
  <c r="Y78" i="6" s="1"/>
  <c r="Y60" i="6"/>
  <c r="Y95" i="6" s="1"/>
  <c r="R68" i="6"/>
  <c r="R69" i="6" s="1"/>
  <c r="R95" i="6"/>
  <c r="R103" i="6" s="1"/>
  <c r="R104" i="6" s="1"/>
  <c r="C10" i="6" s="1"/>
  <c r="R83" i="6"/>
  <c r="R86" i="6" s="1"/>
  <c r="I8" i="6"/>
  <c r="E28" i="9"/>
  <c r="E26" i="9"/>
  <c r="Q141" i="7"/>
  <c r="Y83" i="6"/>
  <c r="Y86" i="6" s="1"/>
  <c r="Y15" i="6"/>
  <c r="Y32" i="6" s="1"/>
  <c r="Y49" i="6" s="1"/>
  <c r="Y66" i="6" s="1"/>
  <c r="Y101" i="6" s="1"/>
  <c r="R78" i="6"/>
  <c r="Y34" i="6"/>
  <c r="Y35" i="6" s="1"/>
  <c r="I6" i="6" s="1"/>
  <c r="R17" i="6"/>
  <c r="G5" i="6" s="1"/>
  <c r="G139" i="4"/>
  <c r="G140" i="4" s="1"/>
  <c r="Y125" i="2"/>
  <c r="T23" i="2"/>
  <c r="V23" i="2" s="1"/>
  <c r="T97" i="2"/>
  <c r="W97" i="2" s="1"/>
  <c r="E95" i="2"/>
  <c r="H95" i="2" s="1"/>
  <c r="J117" i="2"/>
  <c r="T49" i="2"/>
  <c r="V49" i="2" s="1"/>
  <c r="W119" i="2"/>
  <c r="Y117" i="2"/>
  <c r="Y119" i="2"/>
  <c r="X119" i="2"/>
  <c r="H117" i="2"/>
  <c r="X123" i="2"/>
  <c r="E20" i="2"/>
  <c r="H20" i="2" s="1"/>
  <c r="T125" i="2"/>
  <c r="F119" i="2"/>
  <c r="U125" i="2"/>
  <c r="E124" i="2"/>
  <c r="I117" i="2"/>
  <c r="W120" i="2"/>
  <c r="T68" i="2"/>
  <c r="W68" i="2" s="1"/>
  <c r="T69" i="2"/>
  <c r="V69" i="2" s="1"/>
  <c r="U22" i="2"/>
  <c r="X22" i="2" s="1"/>
  <c r="W117" i="2"/>
  <c r="W118" i="2"/>
  <c r="X117" i="2"/>
  <c r="X125" i="2"/>
  <c r="Y118" i="2"/>
  <c r="U118" i="2"/>
  <c r="V118" i="2"/>
  <c r="U26" i="2"/>
  <c r="X26" i="2" s="1"/>
  <c r="E122" i="2"/>
  <c r="X124" i="2"/>
  <c r="F126" i="2"/>
  <c r="U52" i="2"/>
  <c r="X52" i="2" s="1"/>
  <c r="U117" i="2"/>
  <c r="V117" i="2"/>
  <c r="E126" i="2"/>
  <c r="F121" i="2"/>
  <c r="T48" i="2"/>
  <c r="V48" i="2" s="1"/>
  <c r="X126" i="2"/>
  <c r="Y126" i="2"/>
  <c r="T122" i="2"/>
  <c r="V124" i="2"/>
  <c r="U122" i="2"/>
  <c r="W124" i="2"/>
  <c r="V122" i="2"/>
  <c r="J118" i="2"/>
  <c r="U71" i="2"/>
  <c r="X71" i="2" s="1"/>
  <c r="U120" i="2"/>
  <c r="W122" i="2"/>
  <c r="Y124" i="2"/>
  <c r="Y122" i="2"/>
  <c r="Y120" i="2"/>
  <c r="T123" i="2"/>
  <c r="V125" i="2"/>
  <c r="U92" i="2"/>
  <c r="U102" i="2" s="1"/>
  <c r="X118" i="2"/>
  <c r="U123" i="2"/>
  <c r="W125" i="2"/>
  <c r="T95" i="2"/>
  <c r="V95" i="2" s="1"/>
  <c r="T121" i="2"/>
  <c r="V123" i="2"/>
  <c r="T118" i="2"/>
  <c r="V120" i="2"/>
  <c r="T100" i="2"/>
  <c r="W100" i="2" s="1"/>
  <c r="U121" i="2"/>
  <c r="W123" i="2"/>
  <c r="F45" i="2"/>
  <c r="I45" i="2" s="1"/>
  <c r="T119" i="2"/>
  <c r="V121" i="2"/>
  <c r="X120" i="2"/>
  <c r="G119" i="2"/>
  <c r="U119" i="2"/>
  <c r="W121" i="2"/>
  <c r="Y123" i="2"/>
  <c r="T126" i="2"/>
  <c r="T120" i="2"/>
  <c r="X122" i="2"/>
  <c r="T117" i="2"/>
  <c r="V119" i="2"/>
  <c r="X121" i="2"/>
  <c r="U126" i="2"/>
  <c r="Y121" i="2"/>
  <c r="T124" i="2"/>
  <c r="V126" i="2"/>
  <c r="U44" i="2"/>
  <c r="X44" i="2" s="1"/>
  <c r="U124" i="2"/>
  <c r="W126" i="2"/>
  <c r="F44" i="2"/>
  <c r="I44" i="2" s="1"/>
  <c r="F96" i="2"/>
  <c r="I96" i="2" s="1"/>
  <c r="G126" i="2"/>
  <c r="W101" i="2"/>
  <c r="F46" i="2"/>
  <c r="E75" i="2"/>
  <c r="G75" i="2" s="1"/>
  <c r="E119" i="2"/>
  <c r="F94" i="2"/>
  <c r="I94" i="2" s="1"/>
  <c r="F125" i="2"/>
  <c r="E73" i="2"/>
  <c r="G73" i="2" s="1"/>
  <c r="I118" i="2"/>
  <c r="E27" i="2"/>
  <c r="G27" i="2" s="1"/>
  <c r="F29" i="2"/>
  <c r="I29" i="2" s="1"/>
  <c r="E99" i="2"/>
  <c r="G99" i="2" s="1"/>
  <c r="F27" i="2"/>
  <c r="I27" i="2" s="1"/>
  <c r="E97" i="2"/>
  <c r="G97" i="2" s="1"/>
  <c r="G122" i="2"/>
  <c r="E49" i="2"/>
  <c r="G49" i="2" s="1"/>
  <c r="G124" i="2"/>
  <c r="E118" i="2"/>
  <c r="J124" i="2"/>
  <c r="I121" i="2"/>
  <c r="H118" i="2"/>
  <c r="F117" i="2"/>
  <c r="I124" i="2"/>
  <c r="H121" i="2"/>
  <c r="G118" i="2"/>
  <c r="G117" i="2"/>
  <c r="H124" i="2"/>
  <c r="G121" i="2"/>
  <c r="F118" i="2"/>
  <c r="J121" i="2"/>
  <c r="F124" i="2"/>
  <c r="J120" i="2"/>
  <c r="T99" i="2"/>
  <c r="V99" i="2" s="1"/>
  <c r="J123" i="2"/>
  <c r="I120" i="2"/>
  <c r="T27" i="2"/>
  <c r="V27" i="2" s="1"/>
  <c r="J126" i="2"/>
  <c r="I123" i="2"/>
  <c r="H120" i="2"/>
  <c r="I126" i="2"/>
  <c r="H123" i="2"/>
  <c r="G120" i="2"/>
  <c r="H126" i="2"/>
  <c r="G123" i="2"/>
  <c r="F120" i="2"/>
  <c r="E125" i="2"/>
  <c r="F123" i="2"/>
  <c r="J119" i="2"/>
  <c r="E98" i="2"/>
  <c r="H98" i="2" s="1"/>
  <c r="J122" i="2"/>
  <c r="I119" i="2"/>
  <c r="E123" i="2"/>
  <c r="J125" i="2"/>
  <c r="I122" i="2"/>
  <c r="H119" i="2"/>
  <c r="E117" i="2"/>
  <c r="I125" i="2"/>
  <c r="H122" i="2"/>
  <c r="E121" i="2"/>
  <c r="H125" i="2"/>
  <c r="E120" i="2"/>
  <c r="G125" i="2"/>
  <c r="F122" i="2"/>
  <c r="E92" i="2"/>
  <c r="H92" i="2" s="1"/>
  <c r="E44" i="2"/>
  <c r="W76" i="2"/>
  <c r="W21" i="2"/>
  <c r="T45" i="2"/>
  <c r="V45" i="2" s="1"/>
  <c r="T77" i="2"/>
  <c r="W77" i="2" s="1"/>
  <c r="T29" i="2"/>
  <c r="W29" i="2" s="1"/>
  <c r="X68" i="2"/>
  <c r="V51" i="2"/>
  <c r="W51" i="2"/>
  <c r="W94" i="2"/>
  <c r="V94" i="2"/>
  <c r="W72" i="2"/>
  <c r="V72" i="2"/>
  <c r="V26" i="2"/>
  <c r="W20" i="2"/>
  <c r="X20" i="2"/>
  <c r="W73" i="2"/>
  <c r="T96" i="2"/>
  <c r="T25" i="2"/>
  <c r="T53" i="2"/>
  <c r="V71" i="2"/>
  <c r="T93" i="2"/>
  <c r="T22" i="2"/>
  <c r="T50" i="2"/>
  <c r="T46" i="2"/>
  <c r="V21" i="2"/>
  <c r="T47" i="2"/>
  <c r="T75" i="2"/>
  <c r="V76" i="2"/>
  <c r="V101" i="2"/>
  <c r="T24" i="2"/>
  <c r="T52" i="2"/>
  <c r="T44" i="2"/>
  <c r="T70" i="2"/>
  <c r="T98" i="2"/>
  <c r="T92" i="2"/>
  <c r="T74" i="2"/>
  <c r="T28" i="2"/>
  <c r="E76" i="2"/>
  <c r="H76" i="2" s="1"/>
  <c r="E74" i="2"/>
  <c r="G74" i="2" s="1"/>
  <c r="E71" i="2"/>
  <c r="H71" i="2" s="1"/>
  <c r="E24" i="2"/>
  <c r="H24" i="2" s="1"/>
  <c r="E47" i="2"/>
  <c r="H47" i="2" s="1"/>
  <c r="E96" i="2"/>
  <c r="G96" i="2" s="1"/>
  <c r="E45" i="2"/>
  <c r="G45" i="2" s="1"/>
  <c r="E50" i="2"/>
  <c r="G50" i="2" s="1"/>
  <c r="E94" i="2"/>
  <c r="G94" i="2" s="1"/>
  <c r="E46" i="2"/>
  <c r="G46" i="2" s="1"/>
  <c r="E77" i="2"/>
  <c r="G77" i="2" s="1"/>
  <c r="E93" i="2"/>
  <c r="H93" i="2" s="1"/>
  <c r="E72" i="2"/>
  <c r="H72" i="2" s="1"/>
  <c r="E70" i="2"/>
  <c r="G70" i="2" s="1"/>
  <c r="H23" i="2"/>
  <c r="E69" i="2"/>
  <c r="G69" i="2" s="1"/>
  <c r="E101" i="2"/>
  <c r="H101" i="2" s="1"/>
  <c r="E53" i="2"/>
  <c r="H68" i="2"/>
  <c r="E100" i="2"/>
  <c r="E28" i="2"/>
  <c r="H28" i="2" s="1"/>
  <c r="H48" i="2"/>
  <c r="H25" i="2"/>
  <c r="H22" i="2"/>
  <c r="G25" i="2"/>
  <c r="H52" i="2"/>
  <c r="I100" i="2"/>
  <c r="I92" i="2"/>
  <c r="F79" i="2"/>
  <c r="I76" i="2"/>
  <c r="G68" i="2"/>
  <c r="F78" i="2"/>
  <c r="I68" i="2"/>
  <c r="F80" i="2"/>
  <c r="I53" i="2"/>
  <c r="H51" i="2"/>
  <c r="G51" i="2"/>
  <c r="G48" i="2"/>
  <c r="G52" i="2"/>
  <c r="H26" i="2"/>
  <c r="G23" i="2"/>
  <c r="G29" i="2"/>
  <c r="H21" i="2"/>
  <c r="G26" i="2"/>
  <c r="I50" i="9" l="1"/>
  <c r="F50" i="9"/>
  <c r="AK23" i="6"/>
  <c r="H50" i="9"/>
  <c r="Y17" i="6"/>
  <c r="R18" i="6"/>
  <c r="R34" i="6"/>
  <c r="R35" i="6" s="1"/>
  <c r="M6" i="6"/>
  <c r="C9" i="6"/>
  <c r="C6" i="6"/>
  <c r="H27" i="9" s="1"/>
  <c r="H28" i="9" s="1"/>
  <c r="C7" i="6"/>
  <c r="H29" i="9" s="1"/>
  <c r="C5" i="6"/>
  <c r="E39" i="9"/>
  <c r="Y87" i="6"/>
  <c r="I9" i="6"/>
  <c r="R87" i="6"/>
  <c r="Y68" i="6"/>
  <c r="Y69" i="6" s="1"/>
  <c r="T29" i="9" s="1"/>
  <c r="Y51" i="6"/>
  <c r="Y52" i="6" s="1"/>
  <c r="Y103" i="6"/>
  <c r="Y104" i="6" s="1"/>
  <c r="I10" i="6" s="1"/>
  <c r="R49" i="9" s="1"/>
  <c r="Y18" i="6"/>
  <c r="I5" i="6" s="1"/>
  <c r="M5" i="6"/>
  <c r="G138" i="4"/>
  <c r="H44" i="2"/>
  <c r="U104" i="2"/>
  <c r="W48" i="2"/>
  <c r="W49" i="2"/>
  <c r="V97" i="2"/>
  <c r="W23" i="2"/>
  <c r="U103" i="2"/>
  <c r="H49" i="2"/>
  <c r="F55" i="2"/>
  <c r="G95" i="2"/>
  <c r="G92" i="2"/>
  <c r="G98" i="2"/>
  <c r="X92" i="2"/>
  <c r="X102" i="2" s="1"/>
  <c r="G47" i="2"/>
  <c r="F56" i="2"/>
  <c r="X78" i="2"/>
  <c r="X129" i="2"/>
  <c r="G44" i="2"/>
  <c r="T128" i="2"/>
  <c r="W69" i="2"/>
  <c r="V68" i="2"/>
  <c r="F30" i="2"/>
  <c r="F54" i="2"/>
  <c r="W129" i="2"/>
  <c r="U32" i="2"/>
  <c r="H75" i="2"/>
  <c r="U31" i="2"/>
  <c r="G20" i="2"/>
  <c r="W95" i="2"/>
  <c r="V129" i="2"/>
  <c r="I30" i="2"/>
  <c r="V29" i="2"/>
  <c r="U55" i="2"/>
  <c r="I46" i="2"/>
  <c r="I54" i="2" s="1"/>
  <c r="H73" i="2"/>
  <c r="U30" i="2"/>
  <c r="U56" i="2"/>
  <c r="W26" i="2"/>
  <c r="U129" i="2"/>
  <c r="X54" i="2"/>
  <c r="U54" i="2"/>
  <c r="U128" i="2"/>
  <c r="W99" i="2"/>
  <c r="X30" i="2"/>
  <c r="H50" i="2"/>
  <c r="V77" i="2"/>
  <c r="Y128" i="2"/>
  <c r="V128" i="2"/>
  <c r="X128" i="2"/>
  <c r="F104" i="2"/>
  <c r="V100" i="2"/>
  <c r="W71" i="2"/>
  <c r="T129" i="2"/>
  <c r="Y129" i="2"/>
  <c r="F102" i="2"/>
  <c r="F103" i="2"/>
  <c r="U80" i="2"/>
  <c r="W27" i="2"/>
  <c r="U78" i="2"/>
  <c r="W128" i="2"/>
  <c r="W45" i="2"/>
  <c r="U79" i="2"/>
  <c r="H97" i="2"/>
  <c r="H128" i="2"/>
  <c r="H96" i="2"/>
  <c r="G24" i="2"/>
  <c r="I128" i="2"/>
  <c r="F32" i="2"/>
  <c r="H99" i="2"/>
  <c r="F31" i="2"/>
  <c r="J128" i="2"/>
  <c r="H27" i="2"/>
  <c r="H29" i="2"/>
  <c r="F128" i="2"/>
  <c r="F129" i="2"/>
  <c r="E129" i="2"/>
  <c r="E128" i="2"/>
  <c r="I129" i="2"/>
  <c r="J129" i="2"/>
  <c r="G128" i="2"/>
  <c r="G129" i="2"/>
  <c r="H129" i="2"/>
  <c r="T78" i="2"/>
  <c r="G71" i="2"/>
  <c r="G76" i="2"/>
  <c r="H74" i="2"/>
  <c r="V50" i="2"/>
  <c r="W50" i="2"/>
  <c r="V52" i="2"/>
  <c r="W52" i="2"/>
  <c r="W44" i="2"/>
  <c r="T54" i="2"/>
  <c r="V44" i="2"/>
  <c r="W93" i="2"/>
  <c r="V93" i="2"/>
  <c r="V24" i="2"/>
  <c r="W24" i="2"/>
  <c r="W53" i="2"/>
  <c r="V53" i="2"/>
  <c r="W25" i="2"/>
  <c r="V25" i="2"/>
  <c r="W96" i="2"/>
  <c r="V96" i="2"/>
  <c r="W75" i="2"/>
  <c r="V75" i="2"/>
  <c r="W47" i="2"/>
  <c r="V47" i="2"/>
  <c r="W28" i="2"/>
  <c r="V28" i="2"/>
  <c r="V22" i="2"/>
  <c r="W22" i="2"/>
  <c r="W74" i="2"/>
  <c r="V74" i="2"/>
  <c r="V92" i="2"/>
  <c r="W92" i="2"/>
  <c r="T102" i="2"/>
  <c r="V46" i="2"/>
  <c r="W46" i="2"/>
  <c r="W98" i="2"/>
  <c r="V98" i="2"/>
  <c r="V70" i="2"/>
  <c r="W70" i="2"/>
  <c r="T30" i="2"/>
  <c r="H94" i="2"/>
  <c r="E102" i="2"/>
  <c r="G93" i="2"/>
  <c r="E54" i="2"/>
  <c r="H77" i="2"/>
  <c r="H46" i="2"/>
  <c r="H70" i="2"/>
  <c r="H45" i="2"/>
  <c r="G72" i="2"/>
  <c r="H100" i="2"/>
  <c r="G100" i="2"/>
  <c r="H69" i="2"/>
  <c r="E30" i="2"/>
  <c r="G28" i="2"/>
  <c r="E78" i="2"/>
  <c r="G101" i="2"/>
  <c r="H53" i="2"/>
  <c r="G53" i="2"/>
  <c r="I102" i="2"/>
  <c r="I78" i="2"/>
  <c r="P53" i="9" l="1"/>
  <c r="U49" i="9"/>
  <c r="V49" i="9" s="1"/>
  <c r="O9" i="12"/>
  <c r="O17" i="12" s="1"/>
  <c r="T49" i="9"/>
  <c r="D54" i="9"/>
  <c r="K50" i="9"/>
  <c r="E10" i="12"/>
  <c r="J50" i="9"/>
  <c r="T30" i="9"/>
  <c r="U29" i="9"/>
  <c r="V29" i="9"/>
  <c r="I27" i="9"/>
  <c r="J27" i="9"/>
  <c r="G6" i="6"/>
  <c r="I29" i="9"/>
  <c r="H30" i="9"/>
  <c r="J29" i="9"/>
  <c r="C14" i="6"/>
  <c r="G7" i="6"/>
  <c r="E40" i="9"/>
  <c r="I7" i="6"/>
  <c r="M7" i="6" s="1"/>
  <c r="G54" i="2"/>
  <c r="G30" i="2"/>
  <c r="H78" i="2"/>
  <c r="G78" i="2"/>
  <c r="H30" i="2"/>
  <c r="H54" i="2"/>
  <c r="H102" i="2"/>
  <c r="V102" i="2"/>
  <c r="G102" i="2"/>
  <c r="V30" i="2"/>
  <c r="V78" i="2"/>
  <c r="V54" i="2"/>
  <c r="W30" i="2"/>
  <c r="X37" i="2" s="1"/>
  <c r="W78" i="2"/>
  <c r="W54" i="2"/>
  <c r="W102" i="2"/>
  <c r="R9" i="12" l="1"/>
  <c r="T9" i="12"/>
  <c r="S9" i="12"/>
  <c r="S63" i="9"/>
  <c r="P55" i="9"/>
  <c r="H10" i="12"/>
  <c r="I10" i="12"/>
  <c r="J10" i="12"/>
  <c r="D56" i="9"/>
  <c r="G63" i="9"/>
  <c r="V30" i="9"/>
  <c r="U30" i="9"/>
  <c r="J13" i="12"/>
  <c r="I13" i="12"/>
  <c r="H13" i="12"/>
  <c r="J12" i="12"/>
  <c r="I12" i="12"/>
  <c r="H12" i="12"/>
  <c r="I28" i="9"/>
  <c r="J28" i="9"/>
  <c r="I30" i="9"/>
  <c r="J30" i="9"/>
  <c r="J25" i="9"/>
  <c r="I25" i="9"/>
  <c r="E41" i="9"/>
  <c r="C17" i="6"/>
  <c r="C18" i="6" s="1"/>
  <c r="I61" i="2"/>
  <c r="I106" i="2"/>
  <c r="X85" i="2"/>
  <c r="X82" i="2"/>
  <c r="I82" i="2"/>
  <c r="I85" i="2"/>
  <c r="I37" i="2"/>
  <c r="I34" i="2"/>
  <c r="X34" i="2"/>
  <c r="X40" i="2" s="1"/>
  <c r="T138" i="2" s="1"/>
  <c r="X109" i="2"/>
  <c r="I109" i="2"/>
  <c r="X61" i="2"/>
  <c r="X58" i="2"/>
  <c r="X106" i="2"/>
  <c r="X112" i="2" s="1"/>
  <c r="T143" i="2" s="1"/>
  <c r="J11" i="12" l="1"/>
  <c r="I11" i="12"/>
  <c r="H11" i="12"/>
  <c r="Y141" i="2"/>
  <c r="T140" i="2" s="1"/>
  <c r="Q7" i="7"/>
  <c r="L62" i="5"/>
  <c r="L40" i="5"/>
  <c r="Q11" i="7"/>
  <c r="Q44" i="7" s="1"/>
  <c r="T168" i="2"/>
  <c r="P69" i="5"/>
  <c r="J26" i="9"/>
  <c r="I26" i="9"/>
  <c r="E42" i="9"/>
  <c r="I112" i="2"/>
  <c r="E143" i="2" s="1"/>
  <c r="I64" i="2"/>
  <c r="E141" i="2" s="1"/>
  <c r="X88" i="2"/>
  <c r="I40" i="2"/>
  <c r="E138" i="2" s="1"/>
  <c r="I88" i="2"/>
  <c r="E142" i="2" s="1"/>
  <c r="J13" i="7" s="1"/>
  <c r="X64" i="2"/>
  <c r="J141" i="2" l="1"/>
  <c r="E140" i="2" s="1"/>
  <c r="E152" i="2"/>
  <c r="D65" i="5"/>
  <c r="C66" i="5" s="1"/>
  <c r="J7" i="7"/>
  <c r="D62" i="5"/>
  <c r="D40" i="5"/>
  <c r="E168" i="2"/>
  <c r="H69" i="5"/>
  <c r="E153" i="2"/>
  <c r="J11" i="7"/>
  <c r="J44" i="7" s="1"/>
  <c r="J46" i="7"/>
  <c r="J67" i="7"/>
  <c r="E165" i="2"/>
  <c r="H70" i="5"/>
  <c r="E154" i="2"/>
  <c r="E155" i="2" s="1"/>
  <c r="J9" i="7"/>
  <c r="J65" i="7" s="1"/>
  <c r="D52" i="5"/>
  <c r="C54" i="5" s="1"/>
  <c r="Q62" i="7"/>
  <c r="L19" i="5"/>
  <c r="L41" i="5"/>
  <c r="T167" i="2"/>
  <c r="T159" i="2"/>
  <c r="T160" i="2" s="1"/>
  <c r="T161" i="2" s="1"/>
  <c r="T162" i="2" s="1"/>
  <c r="T163" i="2" s="1"/>
  <c r="E43" i="9"/>
  <c r="W132" i="2"/>
  <c r="T142" i="2"/>
  <c r="Y132" i="2"/>
  <c r="T141" i="2"/>
  <c r="J132" i="2"/>
  <c r="F132" i="2"/>
  <c r="E144" i="2"/>
  <c r="X132" i="2"/>
  <c r="G132" i="2"/>
  <c r="E132" i="2"/>
  <c r="H132" i="2"/>
  <c r="I132" i="2"/>
  <c r="U132" i="2"/>
  <c r="T132" i="2"/>
  <c r="V132" i="2"/>
  <c r="C71" i="5" l="1"/>
  <c r="D27" i="5" s="1"/>
  <c r="D19" i="5"/>
  <c r="D41" i="5"/>
  <c r="T144" i="2"/>
  <c r="Q123" i="7"/>
  <c r="Q13" i="7"/>
  <c r="Q46" i="7" s="1"/>
  <c r="Q119" i="7"/>
  <c r="Q70" i="7"/>
  <c r="Q74" i="7" s="1"/>
  <c r="Q89" i="7" s="1"/>
  <c r="Q91" i="7" s="1"/>
  <c r="Q103" i="7" s="1"/>
  <c r="Q109" i="7" s="1"/>
  <c r="J63" i="7"/>
  <c r="J70" i="7" s="1"/>
  <c r="J76" i="7" s="1"/>
  <c r="C6" i="7" s="1"/>
  <c r="D12" i="9" s="1"/>
  <c r="J19" i="7"/>
  <c r="J34" i="7" s="1"/>
  <c r="J36" i="7" s="1"/>
  <c r="J48" i="7" s="1"/>
  <c r="J55" i="7" s="1"/>
  <c r="T152" i="2"/>
  <c r="V141" i="2"/>
  <c r="V142" i="2" s="1"/>
  <c r="U165" i="2"/>
  <c r="Q121" i="7"/>
  <c r="E44" i="9"/>
  <c r="E159" i="2"/>
  <c r="E160" i="2" s="1"/>
  <c r="E161" i="2" s="1"/>
  <c r="E162" i="2" s="1"/>
  <c r="E163" i="2" s="1"/>
  <c r="E167" i="2"/>
  <c r="C15" i="6"/>
  <c r="Q126" i="7" l="1"/>
  <c r="Q132" i="7" s="1"/>
  <c r="E6" i="7" s="1"/>
  <c r="Q9" i="7"/>
  <c r="Q19" i="7" s="1"/>
  <c r="Q34" i="7" s="1"/>
  <c r="Q36" i="7" s="1"/>
  <c r="Q48" i="7" s="1"/>
  <c r="Q55" i="7" s="1"/>
  <c r="T56" i="7" s="1"/>
  <c r="T165" i="2"/>
  <c r="V165" i="2" s="1"/>
  <c r="P70" i="5"/>
  <c r="K71" i="5" s="1"/>
  <c r="L52" i="5"/>
  <c r="K54" i="5" s="1"/>
  <c r="L65" i="5"/>
  <c r="K66" i="5" s="1"/>
  <c r="C5" i="7"/>
  <c r="G56" i="7"/>
  <c r="D29" i="5"/>
  <c r="D32" i="5" s="1"/>
  <c r="E45" i="9"/>
  <c r="C10" i="7" l="1"/>
  <c r="D11" i="9"/>
  <c r="R112" i="7"/>
  <c r="E5" i="7" s="1"/>
  <c r="L27" i="5"/>
  <c r="L29" i="5" s="1"/>
  <c r="L30" i="5" s="1"/>
  <c r="L32" i="5" s="1"/>
  <c r="D15" i="9" l="1"/>
  <c r="E6" i="12" s="1"/>
  <c r="E13" i="9"/>
  <c r="E10" i="7"/>
  <c r="P11" i="9"/>
  <c r="H63" i="9"/>
  <c r="G15" i="9"/>
  <c r="D17" i="9"/>
  <c r="E21" i="12"/>
  <c r="P15" i="9" l="1"/>
  <c r="P17" i="9" l="1"/>
  <c r="R63" i="9"/>
  <c r="T63" i="9" s="1"/>
</calcChain>
</file>

<file path=xl/sharedStrings.xml><?xml version="1.0" encoding="utf-8"?>
<sst xmlns="http://schemas.openxmlformats.org/spreadsheetml/2006/main" count="3766" uniqueCount="603">
  <si>
    <t>Kapal Pembanding</t>
  </si>
  <si>
    <t>NO</t>
  </si>
  <si>
    <t>Nama Kapal</t>
  </si>
  <si>
    <t>DWT (ton)</t>
  </si>
  <si>
    <t>LOA (m)</t>
  </si>
  <si>
    <t>LPP (m)</t>
  </si>
  <si>
    <t>B (m)</t>
  </si>
  <si>
    <t>H (m)</t>
  </si>
  <si>
    <t>T (m)</t>
  </si>
  <si>
    <t>V(Knot)</t>
  </si>
  <si>
    <t>ADRIATIC PRINCESS III</t>
  </si>
  <si>
    <t>AIGRETTE II</t>
  </si>
  <si>
    <t>ARGYLL FLYER</t>
  </si>
  <si>
    <t>COUMBA CASTEL</t>
  </si>
  <si>
    <t>RIOMAIOR</t>
  </si>
  <si>
    <t>MONOHULL</t>
  </si>
  <si>
    <t>CATAMARAN</t>
  </si>
  <si>
    <t>CAPITAINE NEMO</t>
  </si>
  <si>
    <t>DERVENN</t>
  </si>
  <si>
    <t>GLENN II</t>
  </si>
  <si>
    <t>JOLY FRANCE</t>
  </si>
  <si>
    <t>LANGKAWI FERRY 2</t>
  </si>
  <si>
    <t>ADNOC F02</t>
  </si>
  <si>
    <t>LILLEØRE</t>
  </si>
  <si>
    <t>KROTOA</t>
  </si>
  <si>
    <t>NAUTIKA</t>
  </si>
  <si>
    <t>QUEEN STAR 5</t>
  </si>
  <si>
    <t>UMO GREEN</t>
  </si>
  <si>
    <t>UMO JADE</t>
  </si>
  <si>
    <t>AERO 1 HIGHSPEED</t>
  </si>
  <si>
    <t>AERO 3 HIGHSPEED</t>
  </si>
  <si>
    <t>BADJI MOKHTAR II</t>
  </si>
  <si>
    <t>PENENTUAN UKURAN UTAMA KAPAL MONOHULL</t>
  </si>
  <si>
    <t>A. KAPAL PEMBANDING</t>
  </si>
  <si>
    <t>V (Knot)</t>
  </si>
  <si>
    <t>B. REGRESI</t>
  </si>
  <si>
    <t>1. LPP</t>
  </si>
  <si>
    <t>x2</t>
  </si>
  <si>
    <t>xy</t>
  </si>
  <si>
    <t>y2</t>
  </si>
  <si>
    <t>a =(Σ y)(Σ x^2)-(Σ x)(Σ xy)/</t>
  </si>
  <si>
    <t>b = (n Σ xy - Σ x  Σ y) /</t>
  </si>
  <si>
    <t>MIN</t>
  </si>
  <si>
    <t>MAX</t>
  </si>
  <si>
    <t>x (DWT)</t>
  </si>
  <si>
    <t>y (LPP)</t>
  </si>
  <si>
    <t>(LPP)</t>
  </si>
  <si>
    <t>y = a+bx</t>
  </si>
  <si>
    <t>2. B</t>
  </si>
  <si>
    <t>(B)</t>
  </si>
  <si>
    <t>3. H</t>
  </si>
  <si>
    <t>y (B)</t>
  </si>
  <si>
    <t>y (H)</t>
  </si>
  <si>
    <t>DWT KAPALL</t>
  </si>
  <si>
    <t>y (T)</t>
  </si>
  <si>
    <t>4. T</t>
  </si>
  <si>
    <t>(H)</t>
  </si>
  <si>
    <t>C. PERBANDINGAN UKURAN UTAMA</t>
  </si>
  <si>
    <t>L/B</t>
  </si>
  <si>
    <t>T/B</t>
  </si>
  <si>
    <t>B/H</t>
  </si>
  <si>
    <t>T/H</t>
  </si>
  <si>
    <t>L/H</t>
  </si>
  <si>
    <t>B/T</t>
  </si>
  <si>
    <t>Min</t>
  </si>
  <si>
    <t>Max</t>
  </si>
  <si>
    <t>Actual</t>
  </si>
  <si>
    <t>(T)</t>
  </si>
  <si>
    <t>Vessel</t>
  </si>
  <si>
    <t xml:space="preserve">Monohull </t>
  </si>
  <si>
    <t>LPP</t>
  </si>
  <si>
    <t>m</t>
  </si>
  <si>
    <t>B</t>
  </si>
  <si>
    <t>LOA</t>
  </si>
  <si>
    <t>LWL</t>
  </si>
  <si>
    <t>H</t>
  </si>
  <si>
    <t>T</t>
  </si>
  <si>
    <t>Freeboard</t>
  </si>
  <si>
    <t>Formula</t>
  </si>
  <si>
    <t xml:space="preserve">LWL </t>
  </si>
  <si>
    <t>= LPP +3%LPP</t>
  </si>
  <si>
    <t>= LWL x 1.025</t>
  </si>
  <si>
    <t>= H- T</t>
  </si>
  <si>
    <t>Block Coefficient (CB)</t>
  </si>
  <si>
    <t>=1-1.141*(0.514Vs)/SQRT(9.81*LPP)</t>
  </si>
  <si>
    <t>Vs</t>
  </si>
  <si>
    <t>knot</t>
  </si>
  <si>
    <t>Fraude Number</t>
  </si>
  <si>
    <t>Cb</t>
  </si>
  <si>
    <t>(Metode FH Alexandre)</t>
  </si>
  <si>
    <t>= (0.514Vs)/(g*LPP)^1/2</t>
  </si>
  <si>
    <t>DWT</t>
  </si>
  <si>
    <t>Ton</t>
  </si>
  <si>
    <t>Displacement</t>
  </si>
  <si>
    <t>Fn</t>
  </si>
  <si>
    <t>Δ</t>
  </si>
  <si>
    <t>= LPP x B x T x Cb x 1.025</t>
  </si>
  <si>
    <t>catamaran</t>
  </si>
  <si>
    <r>
      <rPr>
        <sz val="11"/>
        <color theme="1"/>
        <rFont val="Calibri"/>
        <family val="2"/>
      </rPr>
      <t>Δ</t>
    </r>
    <r>
      <rPr>
        <sz val="7.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fix</t>
    </r>
  </si>
  <si>
    <t>BOA</t>
  </si>
  <si>
    <t xml:space="preserve">        (n Σ x^2  - (Σ x)^2)</t>
  </si>
  <si>
    <t>Cb Fix</t>
  </si>
  <si>
    <t>=</t>
  </si>
  <si>
    <t>D. UKURAN UTAMA MONO FIX</t>
  </si>
  <si>
    <t>D. UKURAN UTAMA CATA FIX</t>
  </si>
  <si>
    <t>NILAI HYDROSTATICS</t>
  </si>
  <si>
    <t>: Maxsurf Modelar Advanced</t>
  </si>
  <si>
    <t>Density</t>
  </si>
  <si>
    <t>Unit</t>
  </si>
  <si>
    <t>t</t>
  </si>
  <si>
    <t>Volume (displaced)</t>
  </si>
  <si>
    <t>m^3</t>
  </si>
  <si>
    <t>Draft Amidships</t>
  </si>
  <si>
    <t>Immersed depth</t>
  </si>
  <si>
    <t>WL Length</t>
  </si>
  <si>
    <t>Beam max extents on WL</t>
  </si>
  <si>
    <t>Wetted Area</t>
  </si>
  <si>
    <t>m^2</t>
  </si>
  <si>
    <t>Max sect. area</t>
  </si>
  <si>
    <t>Waterpl. Area</t>
  </si>
  <si>
    <t>Prismatic coeff. (Cp)</t>
  </si>
  <si>
    <t>Block coeff. (Cb)</t>
  </si>
  <si>
    <t>Max Sect. area coeff. (Cm)</t>
  </si>
  <si>
    <t>Waterpl. area coeff. (Cwp)</t>
  </si>
  <si>
    <t>LCB length</t>
  </si>
  <si>
    <t>from zero pt. (+ve fwd) m</t>
  </si>
  <si>
    <t>LCF length</t>
  </si>
  <si>
    <t>LCB %</t>
  </si>
  <si>
    <t>from zero pt. (+ve fwd) % Lwl</t>
  </si>
  <si>
    <t>LCF %</t>
  </si>
  <si>
    <t>KB</t>
  </si>
  <si>
    <t>KG fluid</t>
  </si>
  <si>
    <t>BMt</t>
  </si>
  <si>
    <t>BML</t>
  </si>
  <si>
    <t>GMt corrected</t>
  </si>
  <si>
    <t>GML</t>
  </si>
  <si>
    <t>KMt</t>
  </si>
  <si>
    <t>KML</t>
  </si>
  <si>
    <t>Immersion (TPc)</t>
  </si>
  <si>
    <t>tonne/cm</t>
  </si>
  <si>
    <t>MTc</t>
  </si>
  <si>
    <t>tonne.m</t>
  </si>
  <si>
    <t>RM at 1deg = GMt.Disp.sin(1)</t>
  </si>
  <si>
    <t>Length:Beam ratio</t>
  </si>
  <si>
    <t>Beam:Draft ratio</t>
  </si>
  <si>
    <t>Length:Vol^0.333 ratio</t>
  </si>
  <si>
    <t>Precision</t>
  </si>
  <si>
    <t>Medium</t>
  </si>
  <si>
    <t>66 stations</t>
  </si>
  <si>
    <t>(maxsurf)</t>
  </si>
  <si>
    <t>: 1000 kg/m^3</t>
  </si>
  <si>
    <t>Software</t>
  </si>
  <si>
    <t>(MONOHULL)</t>
  </si>
  <si>
    <t>Hydrostatics Aspect</t>
  </si>
  <si>
    <t>Value</t>
  </si>
  <si>
    <t>Monohull</t>
  </si>
  <si>
    <t>Catamaran</t>
  </si>
  <si>
    <t>NILAI RESISTANCE</t>
  </si>
  <si>
    <t>Maxsurf Resistancce</t>
  </si>
  <si>
    <t>Fraude Number (Fn)</t>
  </si>
  <si>
    <t>Resistance (kN)</t>
  </si>
  <si>
    <t>EHP (kW)</t>
  </si>
  <si>
    <t>Speed (knot)</t>
  </si>
  <si>
    <t>Holtrop</t>
  </si>
  <si>
    <t>Slender Body</t>
  </si>
  <si>
    <t>-</t>
  </si>
  <si>
    <t>Efficiency</t>
  </si>
  <si>
    <t>Vs  (knot)</t>
  </si>
  <si>
    <t xml:space="preserve">Software </t>
  </si>
  <si>
    <t>Nilai (1+k) :</t>
  </si>
  <si>
    <t>Vs :</t>
  </si>
  <si>
    <t>(CATAMARAN)</t>
  </si>
  <si>
    <t>Demihull gap</t>
  </si>
  <si>
    <t>Demihull breadth</t>
  </si>
  <si>
    <t>LWT</t>
  </si>
  <si>
    <t>Vs (Knot)</t>
  </si>
  <si>
    <r>
      <t>Hull efficiency (</t>
    </r>
    <r>
      <rPr>
        <sz val="11"/>
        <color theme="1"/>
        <rFont val="Calibri"/>
        <family val="2"/>
      </rPr>
      <t>η</t>
    </r>
    <r>
      <rPr>
        <sz val="9.35"/>
        <color theme="1"/>
        <rFont val="Calibri"/>
        <family val="2"/>
        <charset val="1"/>
      </rPr>
      <t xml:space="preserve">H) </t>
    </r>
  </si>
  <si>
    <r>
      <t>Open prop. efficiency (</t>
    </r>
    <r>
      <rPr>
        <sz val="10"/>
        <color theme="1"/>
        <rFont val="Calibri"/>
        <family val="2"/>
      </rPr>
      <t xml:space="preserve">ηO) </t>
    </r>
  </si>
  <si>
    <r>
      <t>Relative-rot. efficiency (</t>
    </r>
    <r>
      <rPr>
        <sz val="10"/>
        <color theme="1"/>
        <rFont val="Calibri"/>
        <family val="2"/>
      </rPr>
      <t xml:space="preserve">ηR) </t>
    </r>
  </si>
  <si>
    <t>Propulsion Ciefficient</t>
  </si>
  <si>
    <t>SHP (kW)</t>
  </si>
  <si>
    <t>DHP (kW)</t>
  </si>
  <si>
    <t>NILAI SHP, DHP, BHP</t>
  </si>
  <si>
    <t>(Double Engine)</t>
  </si>
  <si>
    <t>(1 engine)</t>
  </si>
  <si>
    <t>BHP Total (kW)</t>
  </si>
  <si>
    <t>BHP per engine (kW)</t>
  </si>
  <si>
    <t>DATA MAIN ENGINE</t>
  </si>
  <si>
    <t>PERHITUNGAN RESISTANCE (MANUAL CALCULATION)</t>
  </si>
  <si>
    <t>Rumus Dasar :</t>
  </si>
  <si>
    <t>Dengan :</t>
  </si>
  <si>
    <t>ρ</t>
  </si>
  <si>
    <t>= Massa Jenis</t>
  </si>
  <si>
    <t>ton/m^3</t>
  </si>
  <si>
    <t>= Kecepatan Dinas</t>
  </si>
  <si>
    <t>m/sec</t>
  </si>
  <si>
    <t>Stot</t>
  </si>
  <si>
    <t>= Luas basah lambung</t>
  </si>
  <si>
    <t>Cf</t>
  </si>
  <si>
    <t>= Koefisien Tahanan gesek</t>
  </si>
  <si>
    <t>Perhitungan Tahanan gesek</t>
  </si>
  <si>
    <t>Rn</t>
  </si>
  <si>
    <t>= Reynold Number</t>
  </si>
  <si>
    <t>(1+k)</t>
  </si>
  <si>
    <t>= Koeffisien bentuk kapal</t>
  </si>
  <si>
    <t>CA</t>
  </si>
  <si>
    <t>V</t>
  </si>
  <si>
    <t>= Correlation allowance Coeff.</t>
  </si>
  <si>
    <t>Perhitungan Correlation allowance Coefficient</t>
  </si>
  <si>
    <t>W</t>
  </si>
  <si>
    <t>= Berat Kapal dalam Muatan penuh</t>
  </si>
  <si>
    <t>kN</t>
  </si>
  <si>
    <t>RW</t>
  </si>
  <si>
    <t>= Hambatan Gelombang</t>
  </si>
  <si>
    <t>Perhitungan Hambatan Gelombang</t>
  </si>
  <si>
    <t>Didapatkan nilai Hambatan total :</t>
  </si>
  <si>
    <t>RT =</t>
  </si>
  <si>
    <t>(Sungai)</t>
  </si>
  <si>
    <t>B/L =</t>
  </si>
  <si>
    <t>(1/2 garis air masuk)</t>
  </si>
  <si>
    <t>iE (deg) =</t>
  </si>
  <si>
    <t>C1          =</t>
  </si>
  <si>
    <t>C2          =</t>
  </si>
  <si>
    <t>Kapal tidak menggunakan bulbous</t>
  </si>
  <si>
    <t>C3          =</t>
  </si>
  <si>
    <t>Kapal tidak menggunakan transom</t>
  </si>
  <si>
    <t>e            =</t>
  </si>
  <si>
    <t>fn          =</t>
  </si>
  <si>
    <t>d            =</t>
  </si>
  <si>
    <t>m2         =</t>
  </si>
  <si>
    <t>C4 =</t>
  </si>
  <si>
    <t xml:space="preserve">C6 = </t>
  </si>
  <si>
    <t>λ             =</t>
  </si>
  <si>
    <t>L/B =</t>
  </si>
  <si>
    <t>m1         =</t>
  </si>
  <si>
    <t xml:space="preserve">C5 = </t>
  </si>
  <si>
    <t>C5 =</t>
  </si>
  <si>
    <t>lwl</t>
  </si>
  <si>
    <t>Persentase Perbedaan dengan Maxsurf</t>
  </si>
  <si>
    <t>(Sesuai)</t>
  </si>
  <si>
    <t>Untuk catamaran, perhitungan untuk 1 sisi hull (demihull)</t>
  </si>
  <si>
    <t>RT demihull =</t>
  </si>
  <si>
    <t>RT Total        =</t>
  </si>
  <si>
    <r>
      <t>L^2/</t>
    </r>
    <r>
      <rPr>
        <sz val="11"/>
        <rFont val="Calibri"/>
        <family val="2"/>
      </rPr>
      <t>Δ</t>
    </r>
    <r>
      <rPr>
        <sz val="11"/>
        <rFont val="Calibri"/>
        <family val="2"/>
        <scheme val="minor"/>
      </rPr>
      <t xml:space="preserve"> =</t>
    </r>
  </si>
  <si>
    <t>KOMPONEN DWT</t>
  </si>
  <si>
    <t>Komponen</t>
  </si>
  <si>
    <t>Berat</t>
  </si>
  <si>
    <t>Fuel Oil</t>
  </si>
  <si>
    <t>Lubricant Oil</t>
  </si>
  <si>
    <t>Fresh Water</t>
  </si>
  <si>
    <t>Penumpang dan Crew</t>
  </si>
  <si>
    <t>Bahan Makanan</t>
  </si>
  <si>
    <t>~</t>
  </si>
  <si>
    <t>HP</t>
  </si>
  <si>
    <t>https://shstfpower.en.made-in-china.com/product/RKFmvhSHCQUc/China-300kw-400HP-Marine-Diesel-Engine-Boat-Engine.html</t>
  </si>
  <si>
    <t>Manufacture</t>
  </si>
  <si>
    <t>Model No.</t>
  </si>
  <si>
    <t>Output rated Power</t>
  </si>
  <si>
    <t>Weight</t>
  </si>
  <si>
    <t>Length</t>
  </si>
  <si>
    <t>Wide</t>
  </si>
  <si>
    <t>Height</t>
  </si>
  <si>
    <t>Rated Speed</t>
  </si>
  <si>
    <t>Fuel Consumption</t>
  </si>
  <si>
    <t>Lubricant Consumption</t>
  </si>
  <si>
    <t>Dongfeng</t>
  </si>
  <si>
    <t>kW</t>
  </si>
  <si>
    <t>kg</t>
  </si>
  <si>
    <t>mm</t>
  </si>
  <si>
    <t>rpm</t>
  </si>
  <si>
    <t>g/kw.h</t>
  </si>
  <si>
    <t>2 engine</t>
  </si>
  <si>
    <t>SYG128ZLCa15 - G128- ZCa</t>
  </si>
  <si>
    <t>SYG128ZLCa15 - G128 - ZLcaf3</t>
  </si>
  <si>
    <t>Ton/m^3</t>
  </si>
  <si>
    <t>a</t>
  </si>
  <si>
    <t>= Jarak Pelayaran</t>
  </si>
  <si>
    <t>EHP Me</t>
  </si>
  <si>
    <t>= EHP Main Engine</t>
  </si>
  <si>
    <t>= Koefisien Pemakaian</t>
  </si>
  <si>
    <t>= Kecepatan</t>
  </si>
  <si>
    <t>Nauticalmile</t>
  </si>
  <si>
    <t>Kg</t>
  </si>
  <si>
    <t>Wfo =</t>
  </si>
  <si>
    <t>Fresh Water untuk Pendingin Mesin</t>
  </si>
  <si>
    <t>3.a</t>
  </si>
  <si>
    <t>Ca2</t>
  </si>
  <si>
    <t>Pa2 =</t>
  </si>
  <si>
    <t>3.b</t>
  </si>
  <si>
    <t>Z</t>
  </si>
  <si>
    <t>= Jumlah penumpang dan crew</t>
  </si>
  <si>
    <t>Orang</t>
  </si>
  <si>
    <t>Berat Orang</t>
  </si>
  <si>
    <t>Fresh Water untuk Keperluan penumpang</t>
  </si>
  <si>
    <t>Pa1 =</t>
  </si>
  <si>
    <t>Ca1</t>
  </si>
  <si>
    <t>Berat Bagasi</t>
  </si>
  <si>
    <t>Bagasi/orang</t>
  </si>
  <si>
    <t>Z' =</t>
  </si>
  <si>
    <t>Kebutuhan Volume tangki</t>
  </si>
  <si>
    <t>Cm</t>
  </si>
  <si>
    <t>KOMPONEN LWT</t>
  </si>
  <si>
    <t>Berat Baja Kapal</t>
  </si>
  <si>
    <t>Berat Outfit dan Akomodasi</t>
  </si>
  <si>
    <t>Berat Permesinan</t>
  </si>
  <si>
    <t>LWT =</t>
  </si>
  <si>
    <t>1. Parameter Steel Weight</t>
  </si>
  <si>
    <t>L</t>
  </si>
  <si>
    <t>= LPP</t>
  </si>
  <si>
    <t>= Beam</t>
  </si>
  <si>
    <t>= Sarat</t>
  </si>
  <si>
    <t>= Height</t>
  </si>
  <si>
    <t>li</t>
  </si>
  <si>
    <t>= Panjang superstruktur</t>
  </si>
  <si>
    <t>hi</t>
  </si>
  <si>
    <t>= Lebar superstruktur</t>
  </si>
  <si>
    <t>E =</t>
  </si>
  <si>
    <t>2. Berat baja Kapal untuk Cb = 0,7 yang diukur pada 0,8H</t>
  </si>
  <si>
    <t>k =</t>
  </si>
  <si>
    <t>Wst' =</t>
  </si>
  <si>
    <t>Wst =</t>
  </si>
  <si>
    <t>3. Berat Konstruksi Kapal (Steel)</t>
  </si>
  <si>
    <t>= Block Coefficient</t>
  </si>
  <si>
    <t>4. Berat Konstruksi Kapal (Aluminium)</t>
  </si>
  <si>
    <t>Steel</t>
  </si>
  <si>
    <t>ρ Steel</t>
  </si>
  <si>
    <t>ρ Aluminium</t>
  </si>
  <si>
    <t>Aluminium</t>
  </si>
  <si>
    <t>Berat Konstruksi Kapal (Aluminium)</t>
  </si>
  <si>
    <t>1. Berat outfit dan akomodasi (Steel)</t>
  </si>
  <si>
    <t>K</t>
  </si>
  <si>
    <t>Woa=</t>
  </si>
  <si>
    <t>2. Berat outfit dan akomodasi (Aluminium)</t>
  </si>
  <si>
    <t>Wme</t>
  </si>
  <si>
    <t>= Berat Main Engine</t>
  </si>
  <si>
    <t>Wpe</t>
  </si>
  <si>
    <r>
      <t>DWT Cadangan (1%</t>
    </r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charset val="1"/>
        <scheme val="minor"/>
      </rPr>
      <t>)</t>
    </r>
  </si>
  <si>
    <t>Wm =</t>
  </si>
  <si>
    <t>DWT Catamaran =</t>
  </si>
  <si>
    <t>DWT Monohull =</t>
  </si>
  <si>
    <t>Bagasi</t>
  </si>
  <si>
    <t>Berat Baja Kapal (Untuk Demihull)</t>
  </si>
  <si>
    <t>BH</t>
  </si>
  <si>
    <t>= Demihull Beam</t>
  </si>
  <si>
    <t>4. Berat Konstruksi Demihull Kapal (Aluminium)</t>
  </si>
  <si>
    <t>Demihull</t>
  </si>
  <si>
    <t>= Demihull Gap</t>
  </si>
  <si>
    <t>Gap</t>
  </si>
  <si>
    <t>Berat Baja Kapal (Untuk Deck)</t>
  </si>
  <si>
    <t>= Tinggi deck</t>
  </si>
  <si>
    <t>Berat Konstruksi Catamaran =</t>
  </si>
  <si>
    <t>(Ditambah 3%)</t>
  </si>
  <si>
    <t>volume main engine</t>
  </si>
  <si>
    <t>Massa Jenis Permesinan</t>
  </si>
  <si>
    <t>Ton/m^2</t>
  </si>
  <si>
    <t>TANGKI</t>
  </si>
  <si>
    <t>Fluid Type</t>
  </si>
  <si>
    <t>Fuel Oil Tank (PS)</t>
  </si>
  <si>
    <t>Massa Jenis (Ton/m^3)</t>
  </si>
  <si>
    <t>Volume Max. Tangki (m^3)</t>
  </si>
  <si>
    <t>Tangki Maxsurf</t>
  </si>
  <si>
    <t>Fuel Oil Tank (SB)</t>
  </si>
  <si>
    <t>Lubricant Oil Tank (PS)</t>
  </si>
  <si>
    <t>Lubricant Oil Tank (SB)</t>
  </si>
  <si>
    <t>Massa Jenis (Kg/m^3)</t>
  </si>
  <si>
    <t>Berat Max. Tangki (Kg)</t>
  </si>
  <si>
    <t>Fresh Water Tank (PS)</t>
  </si>
  <si>
    <t>Berat (Kg)</t>
  </si>
  <si>
    <t>Volume (m^3)</t>
  </si>
  <si>
    <t>= Berat Permesinan Lain</t>
  </si>
  <si>
    <t>Berat Main Engine</t>
  </si>
  <si>
    <t>CONSUMABLE TANK</t>
  </si>
  <si>
    <t>LWT (LIGHT WEIGHT TONNAGE)</t>
  </si>
  <si>
    <t>Berat Permesinan Lain</t>
  </si>
  <si>
    <t>DWT (DEAD WEIGHT TONNAGE)</t>
  </si>
  <si>
    <t>BALLAST TANK</t>
  </si>
  <si>
    <t>FP TANK</t>
  </si>
  <si>
    <t>River Water</t>
  </si>
  <si>
    <t>Actual LWT</t>
  </si>
  <si>
    <t>Memenuhi</t>
  </si>
  <si>
    <r>
      <t>Standard LWT = 1/3</t>
    </r>
    <r>
      <rPr>
        <sz val="11"/>
        <color theme="1"/>
        <rFont val="Calibri"/>
        <family val="2"/>
      </rPr>
      <t>Δ</t>
    </r>
  </si>
  <si>
    <t>Actual DWT</t>
  </si>
  <si>
    <t>Didistribusikan ke atas</t>
  </si>
  <si>
    <t>(Monohull &amp; Catamaran)</t>
  </si>
  <si>
    <t>DISTRIBUTE LWT COMPONENT</t>
  </si>
  <si>
    <t>CENTRALIZED NON-BUOYANCE COMPONENT</t>
  </si>
  <si>
    <t>Selisih</t>
  </si>
  <si>
    <t>Berat Max. Per Tangki (Kg)</t>
  </si>
  <si>
    <t>Ballast Tank 1 (PS)</t>
  </si>
  <si>
    <t>Ballast Tank 2 (PS)</t>
  </si>
  <si>
    <t>Ballast Tank 1 (SB)</t>
  </si>
  <si>
    <t>Ballast Tank 2 (SB)</t>
  </si>
  <si>
    <t>Ballast Tank 3 (PS)</t>
  </si>
  <si>
    <t>Ballast Tank 3 (SB)</t>
  </si>
  <si>
    <t>Ballast Tank 4 (PS)</t>
  </si>
  <si>
    <t>Ballast Tank 4 (SB)</t>
  </si>
  <si>
    <t>ESTIMASI</t>
  </si>
  <si>
    <t>ACTUAL</t>
  </si>
  <si>
    <t>KOMPARASI (TON)</t>
  </si>
  <si>
    <t>= Tinggi superstruktur</t>
  </si>
  <si>
    <t xml:space="preserve">(data for single engine) </t>
  </si>
  <si>
    <t>(Tidak dipakai)</t>
  </si>
  <si>
    <t>Main Engine (Untuk 1 Mesin)</t>
  </si>
  <si>
    <t>Refueling (Kali)</t>
  </si>
  <si>
    <t>Persentase (%)</t>
  </si>
  <si>
    <t>AP TANK (PS)</t>
  </si>
  <si>
    <t>AP TANK (SB)</t>
  </si>
  <si>
    <t>KOMPARTEMEN DAN PENUMPANG</t>
  </si>
  <si>
    <t>KOMPARTEMEN</t>
  </si>
  <si>
    <t>Crew Compartment</t>
  </si>
  <si>
    <t>VOLUME KOMPARTEMEN (m^3)</t>
  </si>
  <si>
    <t>Storage</t>
  </si>
  <si>
    <t>ESTIMASI BERAT (Kg)</t>
  </si>
  <si>
    <t>Kapasitas Penumpang (Orang)</t>
  </si>
  <si>
    <t>Data Penumpang (Kg)</t>
  </si>
  <si>
    <t>BB 100, cargo 50</t>
  </si>
  <si>
    <t>TANK / COMPARTMENT</t>
  </si>
  <si>
    <t>MAX CAPACITY</t>
  </si>
  <si>
    <t>MAX. WEIGHT (TON)</t>
  </si>
  <si>
    <t>MAX. VOLUME (M^3)</t>
  </si>
  <si>
    <t>LOADCASE</t>
  </si>
  <si>
    <t>I</t>
  </si>
  <si>
    <t>II</t>
  </si>
  <si>
    <t>III</t>
  </si>
  <si>
    <t>IV</t>
  </si>
  <si>
    <t>LWT (Lightship)</t>
  </si>
  <si>
    <t>Passenger Compartment 1</t>
  </si>
  <si>
    <t>Passenger Compartment 2</t>
  </si>
  <si>
    <t>Fuel Oil Tank (PS &amp; SB)</t>
  </si>
  <si>
    <t>Lubricant Oil Tank (PS &amp; SB)</t>
  </si>
  <si>
    <t>Fresh Water Tank (PS &amp; SB)</t>
  </si>
  <si>
    <t>Fore Peak Tank</t>
  </si>
  <si>
    <t>After Peak Tank  (PS &amp; SB)</t>
  </si>
  <si>
    <t>Ballast Tank 1  (PS &amp; SB)</t>
  </si>
  <si>
    <t>Ballast Tank 2  (PS &amp; SB)</t>
  </si>
  <si>
    <t>Ballast Tank 3  (PS &amp; SB)</t>
  </si>
  <si>
    <t>Ballast Tank 4  (PS &amp; SB)</t>
  </si>
  <si>
    <t>DISPLACEMENT</t>
  </si>
  <si>
    <t>Estimasi DWT</t>
  </si>
  <si>
    <t>LAODCASE MONO</t>
  </si>
  <si>
    <t>A.749(18) Ch3 - Design criteria applicable to all ships</t>
  </si>
  <si>
    <t>3.1.2.1: Area 0 to 30</t>
  </si>
  <si>
    <t>Pass</t>
  </si>
  <si>
    <t>from the greater of</t>
  </si>
  <si>
    <t>spec. heel angle</t>
  </si>
  <si>
    <t>deg</t>
  </si>
  <si>
    <t>to the lesser of</t>
  </si>
  <si>
    <t>angle of vanishing stability</t>
  </si>
  <si>
    <t>shall not be less than (&gt;=)</t>
  </si>
  <si>
    <t>m.deg</t>
  </si>
  <si>
    <t>3.1.2.1: Area 0 to 40</t>
  </si>
  <si>
    <t>first downflooding angle</t>
  </si>
  <si>
    <t>n/a</t>
  </si>
  <si>
    <t>3.1.2.1: Area 30 to 40</t>
  </si>
  <si>
    <t>3.1.2.2: Max GZ at 30 or greater</t>
  </si>
  <si>
    <t>in the range from the greater of</t>
  </si>
  <si>
    <t>angle of max. GZ</t>
  </si>
  <si>
    <t>Intermediate values</t>
  </si>
  <si>
    <t>angle at which this GZ occurs</t>
  </si>
  <si>
    <t>3.1.2.3: Angle of maximum GZ</t>
  </si>
  <si>
    <t>3.1.2.4: Initial GMt</t>
  </si>
  <si>
    <t>3.1.2.5: Passenger crowding: angle of equilibrium</t>
  </si>
  <si>
    <t>Pass. crowding arm = nPass M / disp. D cos^n(phi)</t>
  </si>
  <si>
    <t>number of passengers: nPass =</t>
  </si>
  <si>
    <t>passenger mass: M =</t>
  </si>
  <si>
    <t>distance from centre line: D =</t>
  </si>
  <si>
    <t>cosine power: n =</t>
  </si>
  <si>
    <t>shall not be greater than (&lt;=)</t>
  </si>
  <si>
    <t>Heel arm amplitude</t>
  </si>
  <si>
    <t>3.1.2.6: Turn: angle of equilibrium</t>
  </si>
  <si>
    <t>Turn arm: a v^2 / (R g) h cos^n(phi)</t>
  </si>
  <si>
    <t>constant: a =</t>
  </si>
  <si>
    <t>vessel speed: v =</t>
  </si>
  <si>
    <t>kn</t>
  </si>
  <si>
    <t>turn radius, R, as percentage of Lwl</t>
  </si>
  <si>
    <t>%</t>
  </si>
  <si>
    <t>h = KG - mean draft / 2</t>
  </si>
  <si>
    <t>3.2.2: Severe wind and rolling</t>
  </si>
  <si>
    <t>Fail</t>
  </si>
  <si>
    <t>Wind arm: a P A (h - H) / (g disp.) cos^n(phi)</t>
  </si>
  <si>
    <t>wind pressure: P =</t>
  </si>
  <si>
    <t>Pa</t>
  </si>
  <si>
    <t>area centroid height (from zero point): h =</t>
  </si>
  <si>
    <t>additional area: A =</t>
  </si>
  <si>
    <t>H = vert. centre of projected lat. u'water area</t>
  </si>
  <si>
    <t>gust ratio</t>
  </si>
  <si>
    <t>Area2 integrated to the lesser of</t>
  </si>
  <si>
    <t>roll back angle from equilibrium (with steady heel arm)</t>
  </si>
  <si>
    <t>Area 1 upper integration range, to the lesser of:</t>
  </si>
  <si>
    <t>angle of vanishing stability (with gust heel arm)</t>
  </si>
  <si>
    <t>Angle for GZ(max) in GZ ratio, the lesser of:</t>
  </si>
  <si>
    <t>Select required angle for angle of steady heel ratio:</t>
  </si>
  <si>
    <t>DeckEdgeImmersionAngle</t>
  </si>
  <si>
    <t>Criteria:</t>
  </si>
  <si>
    <t>Angle of steady heel shall not be greater than (&lt;=)</t>
  </si>
  <si>
    <t>Angle of steady heel / Deck edge immersion angle shall not be greater than (&lt;=)</t>
  </si>
  <si>
    <t>Area1 / Area2 shall not be less than (&gt;=)</t>
  </si>
  <si>
    <t>Model windage area</t>
  </si>
  <si>
    <t>Model windage area centroid height (from zero point)</t>
  </si>
  <si>
    <t>Total windage area</t>
  </si>
  <si>
    <t>Total windage area centroid height (from zero point)</t>
  </si>
  <si>
    <t>Equilibrium angle with steady heel arm</t>
  </si>
  <si>
    <t>Equilibrium angle with gust heel arm</t>
  </si>
  <si>
    <t>Deck edge immersion angle</t>
  </si>
  <si>
    <t>Area1 (under GZ), from 12.0 to 50.0 deg.</t>
  </si>
  <si>
    <t>Area1 (under HA), from 12.0 to 50.0 deg.</t>
  </si>
  <si>
    <t>Area1, from 12.0 to 50.0 deg.</t>
  </si>
  <si>
    <t>Area2 (under GZ), from -17.5 to 12.0 deg.</t>
  </si>
  <si>
    <t>Area2 (under HA), from -17.5 to 12.0 deg.</t>
  </si>
  <si>
    <t>Area2, from -17.5 to 12.0 deg.</t>
  </si>
  <si>
    <t>STANDARD</t>
  </si>
  <si>
    <t>KETERANGAN</t>
  </si>
  <si>
    <r>
      <t xml:space="preserve"> Area 0</t>
    </r>
    <r>
      <rPr>
        <sz val="11"/>
        <color theme="1"/>
        <rFont val="Times New Roman"/>
        <family val="1"/>
      </rPr>
      <t>°</t>
    </r>
    <r>
      <rPr>
        <sz val="11"/>
        <color theme="1"/>
        <rFont val="Calibri"/>
        <family val="2"/>
        <charset val="1"/>
        <scheme val="minor"/>
      </rPr>
      <t>-30°</t>
    </r>
  </si>
  <si>
    <r>
      <t xml:space="preserve"> Area 0</t>
    </r>
    <r>
      <rPr>
        <sz val="11"/>
        <color theme="1"/>
        <rFont val="Times New Roman"/>
        <family val="1"/>
      </rPr>
      <t>°</t>
    </r>
    <r>
      <rPr>
        <sz val="11"/>
        <color theme="1"/>
        <rFont val="Calibri"/>
        <family val="2"/>
        <charset val="1"/>
        <scheme val="minor"/>
      </rPr>
      <t>-40°</t>
    </r>
  </si>
  <si>
    <r>
      <t xml:space="preserve"> Area 30</t>
    </r>
    <r>
      <rPr>
        <sz val="11"/>
        <color theme="1"/>
        <rFont val="Times New Roman"/>
        <family val="1"/>
      </rPr>
      <t>°</t>
    </r>
    <r>
      <rPr>
        <sz val="11"/>
        <color theme="1"/>
        <rFont val="Calibri"/>
        <family val="2"/>
        <charset val="1"/>
        <scheme val="minor"/>
      </rPr>
      <t>-40°</t>
    </r>
  </si>
  <si>
    <t>Max GZ at 30 or Greater</t>
  </si>
  <si>
    <t>Angle of maximum GZ</t>
  </si>
  <si>
    <t>Tidak Boleh Kurang dari :</t>
  </si>
  <si>
    <t>Initial GMt</t>
  </si>
  <si>
    <t>IMO A.749 (18). Ch 3
Design criteria Applicable to all Ships</t>
  </si>
  <si>
    <t>Passenger crowding: angle of equilibrium</t>
  </si>
  <si>
    <t>Turn: angle of equilibrium</t>
  </si>
  <si>
    <t>Severe wind and rolling</t>
  </si>
  <si>
    <t>Angle of steady heel</t>
  </si>
  <si>
    <t>Tidak Boleh Lebih dari :</t>
  </si>
  <si>
    <t>Angle of steady heel / Deck edge immersion angle</t>
  </si>
  <si>
    <t>Area1 / Area2</t>
  </si>
  <si>
    <t>GZ m</t>
  </si>
  <si>
    <t>Area under GZ curve from zero heel m.deg</t>
  </si>
  <si>
    <t>Displacement kg</t>
  </si>
  <si>
    <t>Draft at FP m</t>
  </si>
  <si>
    <t>Draft at AP m</t>
  </si>
  <si>
    <t>WL Length m</t>
  </si>
  <si>
    <t>Beam max extents on WL m</t>
  </si>
  <si>
    <t>Wetted Area m^2</t>
  </si>
  <si>
    <t>Waterpl. Area m^2</t>
  </si>
  <si>
    <t>LCB from zero pt. (+ve fwd) m</t>
  </si>
  <si>
    <t>LCF from zero pt. (+ve fwd) m</t>
  </si>
  <si>
    <t>Max deck inclination deg</t>
  </si>
  <si>
    <t>Trim angle (+ve by stern) deg</t>
  </si>
  <si>
    <t>HEEL TO STARBOARD (Deg)</t>
  </si>
  <si>
    <t>MONOHULL (MAXSURF)</t>
  </si>
  <si>
    <t>STABILITAS</t>
  </si>
  <si>
    <t>LOADCASE I</t>
  </si>
  <si>
    <t>LOADCASE II</t>
  </si>
  <si>
    <t>Kebutuhan Per Trip (Kg)</t>
  </si>
  <si>
    <t>Diketahui :</t>
  </si>
  <si>
    <t>Jumlah Mesin</t>
  </si>
  <si>
    <t>Kapasitas Max. F.O.T</t>
  </si>
  <si>
    <t>Jarak Pelayaran</t>
  </si>
  <si>
    <t>km</t>
  </si>
  <si>
    <t>kw</t>
  </si>
  <si>
    <t>Kecepatan kapal</t>
  </si>
  <si>
    <t>Waktu Tempuh Pelayaran</t>
  </si>
  <si>
    <t>jam</t>
  </si>
  <si>
    <t>Window Time</t>
  </si>
  <si>
    <t>Jam</t>
  </si>
  <si>
    <t>Konsumsi Bahan Bakar Perjam :</t>
  </si>
  <si>
    <t>Konsumsi Bahan Bakar</t>
  </si>
  <si>
    <t>Fuel Consumption Rate (fr)</t>
  </si>
  <si>
    <t>fr x BHP x 2</t>
  </si>
  <si>
    <t>kg/kw.h</t>
  </si>
  <si>
    <t>Konsumsi Bahan Bakar per Trip Pelayaran</t>
  </si>
  <si>
    <t>KOMPARASI JUMLAH TRIP PELAYARAN</t>
  </si>
  <si>
    <t>Konsumsi B.B. Saat Window Time</t>
  </si>
  <si>
    <t>Konsumsi B.B. Saat Pelayaran</t>
  </si>
  <si>
    <t>Konsumsi B.B per Trip Pelayaran</t>
  </si>
  <si>
    <t>Jumlah Trip Pelayaran</t>
  </si>
  <si>
    <t>Trip</t>
  </si>
  <si>
    <t>BHP per engine</t>
  </si>
  <si>
    <t>(Full Load)</t>
  </si>
  <si>
    <t>(Lightship)</t>
  </si>
  <si>
    <t>Jam Operasional</t>
  </si>
  <si>
    <t>Total jam operasional per hari</t>
  </si>
  <si>
    <t>Jumlah Trip Pelayaran Maksimum Per refuilling</t>
  </si>
  <si>
    <t>(Window Time after 1x Trip)</t>
  </si>
  <si>
    <t>(At Trip 5)</t>
  </si>
  <si>
    <t>(Last Trip Before Refueling)</t>
  </si>
  <si>
    <t>LOADCASE II (Full Load)</t>
  </si>
  <si>
    <t>LOADCASE I (Lightship)</t>
  </si>
  <si>
    <t>LOADCASE III (Window Time after 1x Trip)</t>
  </si>
  <si>
    <t>LOADCASE III</t>
  </si>
  <si>
    <t>25.0 (-21.0)</t>
  </si>
  <si>
    <t>LOADCASE IV</t>
  </si>
  <si>
    <t>LOADCASE IV (At Trip 5)</t>
  </si>
  <si>
    <t>LOADCASE V</t>
  </si>
  <si>
    <t>LOADCASE V (Last Trip Before Refueling)</t>
  </si>
  <si>
    <t>KURVA RIGHTING LEVER (Panjang GZ)</t>
  </si>
  <si>
    <t>KURVA DYNAMIC STABILITY (Area GZ)</t>
  </si>
  <si>
    <t>25.0 (-17.5)</t>
  </si>
  <si>
    <t>25.0 (-20.3)</t>
  </si>
  <si>
    <t>25.0 (-19.6)</t>
  </si>
  <si>
    <t>Passenger Compartment 1 + CREW</t>
  </si>
  <si>
    <t>DISPLACEMENT ACTUAL (TON)</t>
  </si>
  <si>
    <t>LAODCASE CATA</t>
  </si>
  <si>
    <t>CATAMARAN (MAXSURF)</t>
  </si>
  <si>
    <t>-1.#IND</t>
  </si>
  <si>
    <t>25.0 (-22.6)</t>
  </si>
  <si>
    <t>25.0 (-23.2)</t>
  </si>
  <si>
    <t>25.0 (-23.1)</t>
  </si>
  <si>
    <t>25.0 (-19.5)</t>
  </si>
  <si>
    <t>ACTUAL DISPLACEMENT (TON)</t>
  </si>
  <si>
    <t>IMO A.749 (18). Ch 3
Design Criteria Applicable to All Ships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</si>
</sst>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00"/>
    <numFmt numFmtId="167" formatCode="0.00000"/>
    <numFmt numFmtId="168" formatCode="0.0000"/>
    <numFmt numFmtId="169" formatCode="0.0%"/>
  </numFmts>
  <fonts count="5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"/>
      <family val="1"/>
    </font>
    <font>
      <sz val="12"/>
      <name val="Times New Roman"/>
      <family val="1"/>
      <charset val="1"/>
    </font>
    <font>
      <sz val="11"/>
      <name val="Times New Roman"/>
      <family val="1"/>
      <charset val="1"/>
    </font>
    <font>
      <sz val="11"/>
      <name val="Arial"/>
      <family val="2"/>
      <charset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</font>
    <font>
      <sz val="7.7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.35"/>
      <color theme="1"/>
      <name val="Calibri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8"/>
      <name val="Calibri"/>
      <family val="2"/>
      <charset val="1"/>
      <scheme val="minor"/>
    </font>
    <font>
      <sz val="8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charset val="1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u/>
      <sz val="11"/>
      <color theme="1"/>
      <name val="Calibri"/>
      <family val="2"/>
      <charset val="1"/>
      <scheme val="minor"/>
    </font>
    <font>
      <b/>
      <sz val="24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9" fontId="19" fillId="0" borderId="0" applyFont="0" applyFill="0" applyBorder="0" applyAlignment="0" applyProtection="0"/>
    <xf numFmtId="0" fontId="34" fillId="0" borderId="0" applyNumberFormat="0" applyFill="0" applyBorder="0" applyAlignment="0" applyProtection="0"/>
  </cellStyleXfs>
  <cellXfs count="735">
    <xf numFmtId="0" fontId="0" fillId="0" borderId="0" xfId="0"/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3" borderId="1" xfId="0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164" fontId="6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/>
    <xf numFmtId="1" fontId="8" fillId="3" borderId="1" xfId="1" applyNumberFormat="1" applyFont="1" applyFill="1" applyBorder="1" applyAlignment="1">
      <alignment horizontal="center"/>
    </xf>
    <xf numFmtId="164" fontId="8" fillId="3" borderId="1" xfId="1" applyNumberFormat="1" applyFont="1" applyFill="1" applyBorder="1" applyAlignment="1">
      <alignment horizontal="center" vertical="center"/>
    </xf>
    <xf numFmtId="2" fontId="8" fillId="3" borderId="1" xfId="1" applyNumberFormat="1" applyFont="1" applyFill="1" applyBorder="1" applyAlignment="1">
      <alignment horizontal="center" vertical="center"/>
    </xf>
    <xf numFmtId="1" fontId="8" fillId="3" borderId="1" xfId="0" applyNumberFormat="1" applyFont="1" applyFill="1" applyBorder="1" applyAlignment="1">
      <alignment horizontal="center"/>
    </xf>
    <xf numFmtId="164" fontId="8" fillId="3" borderId="1" xfId="1" applyNumberFormat="1" applyFont="1" applyFill="1" applyBorder="1" applyAlignment="1">
      <alignment horizontal="center"/>
    </xf>
    <xf numFmtId="2" fontId="8" fillId="3" borderId="1" xfId="1" applyNumberFormat="1" applyFont="1" applyFill="1" applyBorder="1" applyAlignment="1">
      <alignment horizontal="center"/>
    </xf>
    <xf numFmtId="164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 wrapText="1"/>
    </xf>
    <xf numFmtId="1" fontId="8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/>
    <xf numFmtId="1" fontId="8" fillId="3" borderId="1" xfId="1" applyNumberFormat="1" applyFont="1" applyFill="1" applyBorder="1" applyAlignment="1">
      <alignment horizontal="center" vertical="center"/>
    </xf>
    <xf numFmtId="1" fontId="6" fillId="0" borderId="1" xfId="1" applyNumberFormat="1" applyFont="1" applyBorder="1" applyAlignment="1">
      <alignment horizontal="center"/>
    </xf>
    <xf numFmtId="164" fontId="6" fillId="0" borderId="1" xfId="1" applyNumberFormat="1" applyFont="1" applyBorder="1" applyAlignment="1">
      <alignment horizontal="center" vertical="center"/>
    </xf>
    <xf numFmtId="1" fontId="6" fillId="0" borderId="1" xfId="1" applyNumberFormat="1" applyFont="1" applyBorder="1" applyAlignment="1">
      <alignment horizontal="center" vertical="center"/>
    </xf>
    <xf numFmtId="164" fontId="6" fillId="0" borderId="1" xfId="1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0" fillId="0" borderId="9" xfId="0" applyFont="1" applyBorder="1"/>
    <xf numFmtId="0" fontId="10" fillId="0" borderId="2" xfId="0" applyFont="1" applyBorder="1" applyAlignment="1">
      <alignment horizontal="left"/>
    </xf>
    <xf numFmtId="0" fontId="10" fillId="0" borderId="10" xfId="0" applyFont="1" applyBorder="1"/>
    <xf numFmtId="0" fontId="10" fillId="0" borderId="0" xfId="0" applyFont="1" applyAlignment="1">
      <alignment wrapText="1"/>
    </xf>
    <xf numFmtId="0" fontId="10" fillId="0" borderId="9" xfId="0" applyFont="1" applyBorder="1" applyAlignment="1">
      <alignment wrapText="1"/>
    </xf>
    <xf numFmtId="0" fontId="10" fillId="0" borderId="10" xfId="0" applyFont="1" applyBorder="1" applyAlignment="1">
      <alignment wrapText="1"/>
    </xf>
    <xf numFmtId="0" fontId="10" fillId="0" borderId="6" xfId="0" applyFont="1" applyBorder="1"/>
    <xf numFmtId="0" fontId="10" fillId="0" borderId="7" xfId="0" applyFont="1" applyBorder="1"/>
    <xf numFmtId="0" fontId="10" fillId="0" borderId="8" xfId="0" applyFont="1" applyBorder="1"/>
    <xf numFmtId="0" fontId="10" fillId="0" borderId="1" xfId="0" applyFont="1" applyBorder="1" applyAlignment="1">
      <alignment horizontal="center"/>
    </xf>
    <xf numFmtId="1" fontId="10" fillId="0" borderId="1" xfId="0" applyNumberFormat="1" applyFont="1" applyBorder="1"/>
    <xf numFmtId="164" fontId="10" fillId="0" borderId="1" xfId="0" applyNumberFormat="1" applyFont="1" applyBorder="1"/>
    <xf numFmtId="0" fontId="10" fillId="0" borderId="1" xfId="0" applyFont="1" applyBorder="1"/>
    <xf numFmtId="0" fontId="10" fillId="0" borderId="11" xfId="0" applyFont="1" applyBorder="1"/>
    <xf numFmtId="0" fontId="10" fillId="0" borderId="13" xfId="0" applyFont="1" applyBorder="1"/>
    <xf numFmtId="0" fontId="10" fillId="0" borderId="12" xfId="0" applyFont="1" applyBorder="1"/>
    <xf numFmtId="0" fontId="10" fillId="0" borderId="14" xfId="0" applyFont="1" applyBorder="1"/>
    <xf numFmtId="0" fontId="10" fillId="0" borderId="2" xfId="0" applyFont="1" applyBorder="1"/>
    <xf numFmtId="0" fontId="10" fillId="0" borderId="15" xfId="0" applyFont="1" applyBorder="1"/>
    <xf numFmtId="0" fontId="10" fillId="0" borderId="16" xfId="0" applyFont="1" applyBorder="1"/>
    <xf numFmtId="0" fontId="10" fillId="0" borderId="17" xfId="0" applyFont="1" applyBorder="1"/>
    <xf numFmtId="0" fontId="10" fillId="0" borderId="18" xfId="0" applyFont="1" applyBorder="1"/>
    <xf numFmtId="0" fontId="10" fillId="0" borderId="19" xfId="0" applyFont="1" applyBorder="1"/>
    <xf numFmtId="1" fontId="6" fillId="0" borderId="0" xfId="0" applyNumberFormat="1" applyFont="1"/>
    <xf numFmtId="0" fontId="12" fillId="0" borderId="0" xfId="0" applyFont="1"/>
    <xf numFmtId="0" fontId="10" fillId="0" borderId="0" xfId="0" applyFont="1" applyAlignment="1">
      <alignment horizontal="left"/>
    </xf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165" fontId="10" fillId="0" borderId="1" xfId="0" applyNumberFormat="1" applyFont="1" applyBorder="1" applyAlignment="1">
      <alignment horizontal="center"/>
    </xf>
    <xf numFmtId="2" fontId="10" fillId="0" borderId="1" xfId="0" applyNumberFormat="1" applyFont="1" applyBorder="1"/>
    <xf numFmtId="0" fontId="10" fillId="0" borderId="24" xfId="0" applyFont="1" applyBorder="1"/>
    <xf numFmtId="0" fontId="10" fillId="0" borderId="27" xfId="0" applyFont="1" applyBorder="1"/>
    <xf numFmtId="0" fontId="10" fillId="0" borderId="28" xfId="0" applyFont="1" applyBorder="1"/>
    <xf numFmtId="0" fontId="10" fillId="0" borderId="29" xfId="0" applyFont="1" applyBorder="1"/>
    <xf numFmtId="0" fontId="10" fillId="0" borderId="31" xfId="0" applyFont="1" applyBorder="1"/>
    <xf numFmtId="0" fontId="10" fillId="0" borderId="0" xfId="0" quotePrefix="1" applyFont="1"/>
    <xf numFmtId="0" fontId="10" fillId="0" borderId="0" xfId="0" applyFont="1" applyAlignment="1">
      <alignment horizontal="right"/>
    </xf>
    <xf numFmtId="0" fontId="14" fillId="0" borderId="0" xfId="0" applyFont="1"/>
    <xf numFmtId="2" fontId="10" fillId="0" borderId="0" xfId="0" applyNumberFormat="1" applyFont="1"/>
    <xf numFmtId="0" fontId="17" fillId="0" borderId="0" xfId="0" applyFont="1"/>
    <xf numFmtId="0" fontId="11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left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6" xfId="0" applyBorder="1"/>
    <xf numFmtId="0" fontId="0" fillId="0" borderId="40" xfId="0" applyBorder="1"/>
    <xf numFmtId="0" fontId="0" fillId="0" borderId="9" xfId="0" applyBorder="1"/>
    <xf numFmtId="0" fontId="0" fillId="0" borderId="0" xfId="0" applyAlignment="1">
      <alignment horizontal="left"/>
    </xf>
    <xf numFmtId="0" fontId="18" fillId="0" borderId="30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9" fontId="0" fillId="0" borderId="0" xfId="2" applyFont="1" applyBorder="1" applyAlignment="1">
      <alignment horizontal="left"/>
    </xf>
    <xf numFmtId="0" fontId="18" fillId="0" borderId="2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10" xfId="0" applyBorder="1"/>
    <xf numFmtId="0" fontId="0" fillId="0" borderId="7" xfId="0" applyBorder="1"/>
    <xf numFmtId="0" fontId="0" fillId="0" borderId="8" xfId="0" applyBorder="1"/>
    <xf numFmtId="0" fontId="0" fillId="2" borderId="0" xfId="0" applyFill="1"/>
    <xf numFmtId="0" fontId="4" fillId="0" borderId="14" xfId="0" applyFont="1" applyBorder="1" applyAlignment="1">
      <alignment horizontal="center" vertical="center" wrapText="1"/>
    </xf>
    <xf numFmtId="165" fontId="10" fillId="0" borderId="1" xfId="0" applyNumberFormat="1" applyFont="1" applyBorder="1"/>
    <xf numFmtId="165" fontId="0" fillId="0" borderId="36" xfId="0" applyNumberFormat="1" applyBorder="1" applyAlignment="1">
      <alignment horizontal="center"/>
    </xf>
    <xf numFmtId="165" fontId="0" fillId="0" borderId="33" xfId="0" applyNumberFormat="1" applyBorder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27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16" xfId="0" applyNumberFormat="1" applyBorder="1" applyAlignment="1">
      <alignment horizontal="center"/>
    </xf>
    <xf numFmtId="165" fontId="0" fillId="0" borderId="29" xfId="0" applyNumberFormat="1" applyBorder="1" applyAlignment="1">
      <alignment horizontal="center"/>
    </xf>
    <xf numFmtId="165" fontId="0" fillId="0" borderId="30" xfId="0" applyNumberFormat="1" applyBorder="1" applyAlignment="1">
      <alignment horizontal="center"/>
    </xf>
    <xf numFmtId="165" fontId="0" fillId="0" borderId="47" xfId="0" applyNumberFormat="1" applyBorder="1" applyAlignment="1">
      <alignment horizontal="center"/>
    </xf>
    <xf numFmtId="2" fontId="0" fillId="0" borderId="1" xfId="0" applyNumberFormat="1" applyBorder="1"/>
    <xf numFmtId="1" fontId="10" fillId="0" borderId="30" xfId="0" applyNumberFormat="1" applyFont="1" applyBorder="1"/>
    <xf numFmtId="164" fontId="10" fillId="0" borderId="0" xfId="0" applyNumberFormat="1" applyFont="1"/>
    <xf numFmtId="0" fontId="0" fillId="0" borderId="1" xfId="0" applyBorder="1"/>
    <xf numFmtId="0" fontId="26" fillId="0" borderId="0" xfId="0" applyFont="1"/>
    <xf numFmtId="0" fontId="26" fillId="0" borderId="40" xfId="0" applyFont="1" applyBorder="1"/>
    <xf numFmtId="0" fontId="26" fillId="0" borderId="41" xfId="0" applyFont="1" applyBorder="1"/>
    <xf numFmtId="0" fontId="26" fillId="0" borderId="42" xfId="0" applyFont="1" applyBorder="1"/>
    <xf numFmtId="0" fontId="26" fillId="0" borderId="9" xfId="0" applyFont="1" applyBorder="1"/>
    <xf numFmtId="0" fontId="26" fillId="0" borderId="10" xfId="0" applyFont="1" applyBorder="1"/>
    <xf numFmtId="165" fontId="26" fillId="0" borderId="16" xfId="0" applyNumberFormat="1" applyFont="1" applyBorder="1"/>
    <xf numFmtId="0" fontId="26" fillId="0" borderId="18" xfId="0" applyFont="1" applyBorder="1"/>
    <xf numFmtId="0" fontId="26" fillId="0" borderId="10" xfId="0" applyFont="1" applyBorder="1" applyAlignment="1">
      <alignment wrapText="1"/>
    </xf>
    <xf numFmtId="166" fontId="26" fillId="0" borderId="16" xfId="0" applyNumberFormat="1" applyFont="1" applyBorder="1"/>
    <xf numFmtId="2" fontId="26" fillId="0" borderId="16" xfId="0" applyNumberFormat="1" applyFont="1" applyBorder="1"/>
    <xf numFmtId="2" fontId="26" fillId="0" borderId="11" xfId="0" applyNumberFormat="1" applyFont="1" applyBorder="1"/>
    <xf numFmtId="0" fontId="26" fillId="0" borderId="12" xfId="0" applyFont="1" applyBorder="1"/>
    <xf numFmtId="0" fontId="27" fillId="0" borderId="40" xfId="0" applyFont="1" applyBorder="1"/>
    <xf numFmtId="0" fontId="27" fillId="0" borderId="41" xfId="0" applyFont="1" applyBorder="1"/>
    <xf numFmtId="0" fontId="27" fillId="0" borderId="9" xfId="0" applyFont="1" applyBorder="1"/>
    <xf numFmtId="0" fontId="27" fillId="0" borderId="0" xfId="0" applyFont="1"/>
    <xf numFmtId="2" fontId="27" fillId="0" borderId="0" xfId="0" applyNumberFormat="1" applyFont="1"/>
    <xf numFmtId="0" fontId="27" fillId="0" borderId="0" xfId="0" applyFont="1" applyAlignment="1">
      <alignment wrapText="1"/>
    </xf>
    <xf numFmtId="10" fontId="26" fillId="0" borderId="0" xfId="2" applyNumberFormat="1" applyFont="1" applyBorder="1"/>
    <xf numFmtId="0" fontId="26" fillId="0" borderId="6" xfId="0" applyFont="1" applyBorder="1"/>
    <xf numFmtId="0" fontId="26" fillId="0" borderId="7" xfId="0" applyFont="1" applyBorder="1"/>
    <xf numFmtId="2" fontId="26" fillId="0" borderId="7" xfId="0" applyNumberFormat="1" applyFont="1" applyBorder="1"/>
    <xf numFmtId="0" fontId="26" fillId="0" borderId="8" xfId="0" applyFont="1" applyBorder="1"/>
    <xf numFmtId="0" fontId="28" fillId="0" borderId="48" xfId="0" applyFont="1" applyBorder="1" applyAlignment="1">
      <alignment vertical="center"/>
    </xf>
    <xf numFmtId="0" fontId="26" fillId="0" borderId="13" xfId="0" quotePrefix="1" applyFont="1" applyBorder="1"/>
    <xf numFmtId="0" fontId="26" fillId="0" borderId="21" xfId="0" applyFont="1" applyBorder="1"/>
    <xf numFmtId="0" fontId="28" fillId="0" borderId="9" xfId="0" applyFont="1" applyBorder="1" applyAlignment="1">
      <alignment horizontal="right" vertical="center"/>
    </xf>
    <xf numFmtId="0" fontId="26" fillId="0" borderId="0" xfId="0" quotePrefix="1" applyFont="1" applyAlignment="1">
      <alignment horizontal="left"/>
    </xf>
    <xf numFmtId="0" fontId="28" fillId="0" borderId="9" xfId="0" applyFont="1" applyBorder="1" applyAlignment="1">
      <alignment vertical="center"/>
    </xf>
    <xf numFmtId="165" fontId="26" fillId="0" borderId="0" xfId="0" applyNumberFormat="1" applyFont="1" applyAlignment="1">
      <alignment horizontal="right"/>
    </xf>
    <xf numFmtId="165" fontId="26" fillId="0" borderId="0" xfId="0" applyNumberFormat="1" applyFont="1" applyAlignment="1">
      <alignment horizontal="left"/>
    </xf>
    <xf numFmtId="0" fontId="26" fillId="0" borderId="0" xfId="0" applyFont="1" applyAlignment="1">
      <alignment horizontal="right"/>
    </xf>
    <xf numFmtId="165" fontId="26" fillId="0" borderId="10" xfId="0" applyNumberFormat="1" applyFont="1" applyBorder="1" applyAlignment="1">
      <alignment horizontal="left"/>
    </xf>
    <xf numFmtId="0" fontId="28" fillId="0" borderId="49" xfId="0" applyFont="1" applyBorder="1" applyAlignment="1">
      <alignment vertical="center"/>
    </xf>
    <xf numFmtId="165" fontId="26" fillId="0" borderId="2" xfId="0" applyNumberFormat="1" applyFont="1" applyBorder="1"/>
    <xf numFmtId="0" fontId="26" fillId="0" borderId="2" xfId="0" applyFont="1" applyBorder="1"/>
    <xf numFmtId="0" fontId="26" fillId="0" borderId="20" xfId="0" applyFont="1" applyBorder="1"/>
    <xf numFmtId="0" fontId="28" fillId="0" borderId="50" xfId="0" applyFont="1" applyBorder="1" applyAlignment="1">
      <alignment vertical="center"/>
    </xf>
    <xf numFmtId="0" fontId="26" fillId="0" borderId="17" xfId="0" applyFont="1" applyBorder="1"/>
    <xf numFmtId="0" fontId="26" fillId="0" borderId="51" xfId="0" applyFont="1" applyBorder="1"/>
    <xf numFmtId="0" fontId="26" fillId="0" borderId="50" xfId="0" applyFont="1" applyBorder="1"/>
    <xf numFmtId="2" fontId="26" fillId="0" borderId="17" xfId="0" applyNumberFormat="1" applyFont="1" applyBorder="1"/>
    <xf numFmtId="165" fontId="26" fillId="0" borderId="0" xfId="0" applyNumberFormat="1" applyFont="1"/>
    <xf numFmtId="0" fontId="26" fillId="0" borderId="13" xfId="0" applyFont="1" applyBorder="1"/>
    <xf numFmtId="2" fontId="26" fillId="0" borderId="0" xfId="0" applyNumberFormat="1" applyFont="1"/>
    <xf numFmtId="0" fontId="26" fillId="0" borderId="0" xfId="0" quotePrefix="1" applyFont="1"/>
    <xf numFmtId="0" fontId="28" fillId="0" borderId="0" xfId="0" applyFont="1"/>
    <xf numFmtId="0" fontId="28" fillId="0" borderId="6" xfId="0" applyFont="1" applyBorder="1" applyAlignment="1">
      <alignment vertical="center"/>
    </xf>
    <xf numFmtId="165" fontId="26" fillId="0" borderId="7" xfId="0" applyNumberFormat="1" applyFont="1" applyBorder="1"/>
    <xf numFmtId="0" fontId="0" fillId="0" borderId="18" xfId="0" applyBorder="1"/>
    <xf numFmtId="0" fontId="0" fillId="0" borderId="52" xfId="0" applyBorder="1"/>
    <xf numFmtId="0" fontId="0" fillId="0" borderId="55" xfId="0" applyBorder="1"/>
    <xf numFmtId="0" fontId="0" fillId="0" borderId="56" xfId="0" applyBorder="1"/>
    <xf numFmtId="0" fontId="0" fillId="0" borderId="41" xfId="0" applyBorder="1"/>
    <xf numFmtId="0" fontId="0" fillId="0" borderId="42" xfId="0" applyBorder="1"/>
    <xf numFmtId="0" fontId="0" fillId="0" borderId="6" xfId="0" applyBorder="1"/>
    <xf numFmtId="0" fontId="18" fillId="0" borderId="40" xfId="0" applyFont="1" applyBorder="1"/>
    <xf numFmtId="0" fontId="18" fillId="0" borderId="41" xfId="0" applyFont="1" applyBorder="1"/>
    <xf numFmtId="0" fontId="18" fillId="0" borderId="42" xfId="0" applyFont="1" applyBorder="1"/>
    <xf numFmtId="0" fontId="18" fillId="0" borderId="6" xfId="0" applyFont="1" applyBorder="1"/>
    <xf numFmtId="0" fontId="18" fillId="0" borderId="7" xfId="0" applyFont="1" applyBorder="1"/>
    <xf numFmtId="0" fontId="18" fillId="0" borderId="8" xfId="0" applyFont="1" applyBorder="1"/>
    <xf numFmtId="167" fontId="18" fillId="0" borderId="41" xfId="0" applyNumberFormat="1" applyFont="1" applyBorder="1"/>
    <xf numFmtId="168" fontId="18" fillId="0" borderId="41" xfId="0" applyNumberFormat="1" applyFont="1" applyBorder="1"/>
    <xf numFmtId="168" fontId="18" fillId="0" borderId="7" xfId="0" applyNumberFormat="1" applyFont="1" applyBorder="1"/>
    <xf numFmtId="165" fontId="18" fillId="0" borderId="41" xfId="0" applyNumberFormat="1" applyFont="1" applyBorder="1"/>
    <xf numFmtId="165" fontId="18" fillId="0" borderId="7" xfId="0" applyNumberFormat="1" applyFont="1" applyBorder="1"/>
    <xf numFmtId="0" fontId="0" fillId="0" borderId="50" xfId="0" applyBorder="1"/>
    <xf numFmtId="165" fontId="0" fillId="0" borderId="18" xfId="0" applyNumberFormat="1" applyBorder="1"/>
    <xf numFmtId="0" fontId="0" fillId="0" borderId="59" xfId="0" applyBorder="1"/>
    <xf numFmtId="165" fontId="0" fillId="0" borderId="52" xfId="0" applyNumberFormat="1" applyBorder="1"/>
    <xf numFmtId="165" fontId="0" fillId="0" borderId="16" xfId="0" applyNumberFormat="1" applyBorder="1"/>
    <xf numFmtId="0" fontId="0" fillId="0" borderId="16" xfId="0" applyBorder="1"/>
    <xf numFmtId="0" fontId="0" fillId="0" borderId="47" xfId="0" applyBorder="1"/>
    <xf numFmtId="0" fontId="0" fillId="0" borderId="51" xfId="0" applyBorder="1"/>
    <xf numFmtId="0" fontId="0" fillId="0" borderId="60" xfId="0" applyBorder="1"/>
    <xf numFmtId="167" fontId="0" fillId="0" borderId="16" xfId="0" applyNumberFormat="1" applyBorder="1"/>
    <xf numFmtId="0" fontId="0" fillId="0" borderId="40" xfId="0" applyBorder="1" applyAlignment="1">
      <alignment horizontal="right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168" fontId="0" fillId="0" borderId="50" xfId="0" applyNumberFormat="1" applyBorder="1"/>
    <xf numFmtId="165" fontId="0" fillId="0" borderId="50" xfId="0" applyNumberFormat="1" applyBorder="1"/>
    <xf numFmtId="0" fontId="18" fillId="0" borderId="54" xfId="0" applyFont="1" applyBorder="1" applyAlignment="1">
      <alignment horizontal="center"/>
    </xf>
    <xf numFmtId="0" fontId="18" fillId="0" borderId="55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18" fillId="0" borderId="40" xfId="0" applyFont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left"/>
    </xf>
    <xf numFmtId="0" fontId="18" fillId="0" borderId="54" xfId="0" applyFont="1" applyBorder="1" applyAlignment="1">
      <alignment vertical="center"/>
    </xf>
    <xf numFmtId="0" fontId="18" fillId="0" borderId="3" xfId="0" applyFont="1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7" xfId="0" applyBorder="1"/>
    <xf numFmtId="0" fontId="14" fillId="0" borderId="1" xfId="0" applyFont="1" applyBorder="1"/>
    <xf numFmtId="0" fontId="31" fillId="0" borderId="1" xfId="0" applyFont="1" applyBorder="1"/>
    <xf numFmtId="165" fontId="0" fillId="0" borderId="4" xfId="0" applyNumberFormat="1" applyBorder="1"/>
    <xf numFmtId="2" fontId="18" fillId="0" borderId="4" xfId="0" applyNumberFormat="1" applyFont="1" applyBorder="1"/>
    <xf numFmtId="0" fontId="18" fillId="0" borderId="5" xfId="0" applyFont="1" applyBorder="1"/>
    <xf numFmtId="0" fontId="32" fillId="0" borderId="10" xfId="0" applyFont="1" applyBorder="1"/>
    <xf numFmtId="0" fontId="0" fillId="0" borderId="55" xfId="0" applyBorder="1" applyAlignment="1">
      <alignment wrapText="1"/>
    </xf>
    <xf numFmtId="0" fontId="0" fillId="0" borderId="1" xfId="0" applyBorder="1" applyAlignment="1">
      <alignment horizontal="center"/>
    </xf>
    <xf numFmtId="165" fontId="0" fillId="0" borderId="59" xfId="0" applyNumberFormat="1" applyBorder="1"/>
    <xf numFmtId="0" fontId="18" fillId="0" borderId="0" xfId="0" applyFont="1" applyAlignment="1">
      <alignment horizontal="center"/>
    </xf>
    <xf numFmtId="0" fontId="0" fillId="0" borderId="61" xfId="0" applyBorder="1"/>
    <xf numFmtId="0" fontId="0" fillId="0" borderId="61" xfId="0" applyBorder="1" applyAlignment="1">
      <alignment vertical="center"/>
    </xf>
    <xf numFmtId="0" fontId="0" fillId="0" borderId="61" xfId="0" applyBorder="1" applyAlignment="1">
      <alignment vertical="top"/>
    </xf>
    <xf numFmtId="2" fontId="0" fillId="0" borderId="41" xfId="0" applyNumberFormat="1" applyBorder="1"/>
    <xf numFmtId="0" fontId="31" fillId="0" borderId="0" xfId="0" applyFont="1"/>
    <xf numFmtId="2" fontId="0" fillId="0" borderId="0" xfId="0" applyNumberFormat="1"/>
    <xf numFmtId="1" fontId="0" fillId="0" borderId="0" xfId="0" applyNumberFormat="1"/>
    <xf numFmtId="169" fontId="0" fillId="0" borderId="0" xfId="2" applyNumberFormat="1" applyFont="1"/>
    <xf numFmtId="0" fontId="18" fillId="0" borderId="4" xfId="0" applyFont="1" applyBorder="1"/>
    <xf numFmtId="0" fontId="18" fillId="0" borderId="3" xfId="0" applyFont="1" applyBorder="1"/>
    <xf numFmtId="2" fontId="0" fillId="0" borderId="27" xfId="0" applyNumberFormat="1" applyBorder="1"/>
    <xf numFmtId="0" fontId="18" fillId="0" borderId="29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/>
    </xf>
    <xf numFmtId="0" fontId="35" fillId="0" borderId="40" xfId="0" applyFont="1" applyBorder="1"/>
    <xf numFmtId="0" fontId="35" fillId="0" borderId="42" xfId="0" applyFont="1" applyBorder="1"/>
    <xf numFmtId="165" fontId="35" fillId="0" borderId="9" xfId="0" applyNumberFormat="1" applyFont="1" applyBorder="1" applyAlignment="1">
      <alignment horizontal="left" indent="4"/>
    </xf>
    <xf numFmtId="0" fontId="35" fillId="0" borderId="10" xfId="0" applyFont="1" applyBorder="1"/>
    <xf numFmtId="0" fontId="35" fillId="0" borderId="9" xfId="0" applyFont="1" applyBorder="1"/>
    <xf numFmtId="165" fontId="35" fillId="0" borderId="9" xfId="0" applyNumberFormat="1" applyFont="1" applyBorder="1"/>
    <xf numFmtId="165" fontId="35" fillId="0" borderId="6" xfId="0" applyNumberFormat="1" applyFont="1" applyBorder="1"/>
    <xf numFmtId="0" fontId="35" fillId="0" borderId="8" xfId="0" applyFont="1" applyBorder="1"/>
    <xf numFmtId="0" fontId="34" fillId="0" borderId="0" xfId="3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30" xfId="0" applyNumberFormat="1" applyBorder="1" applyAlignment="1">
      <alignment horizontal="center"/>
    </xf>
    <xf numFmtId="0" fontId="0" fillId="0" borderId="33" xfId="0" applyBorder="1"/>
    <xf numFmtId="2" fontId="0" fillId="0" borderId="33" xfId="0" applyNumberForma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62" xfId="0" applyBorder="1"/>
    <xf numFmtId="0" fontId="0" fillId="0" borderId="63" xfId="0" applyBorder="1"/>
    <xf numFmtId="0" fontId="0" fillId="0" borderId="63" xfId="0" applyBorder="1" applyAlignment="1">
      <alignment horizontal="center"/>
    </xf>
    <xf numFmtId="0" fontId="0" fillId="0" borderId="64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0" borderId="7" xfId="0" applyNumberFormat="1" applyBorder="1"/>
    <xf numFmtId="0" fontId="36" fillId="0" borderId="0" xfId="0" applyFont="1" applyAlignment="1">
      <alignment horizontal="center"/>
    </xf>
    <xf numFmtId="0" fontId="0" fillId="0" borderId="22" xfId="0" applyBorder="1"/>
    <xf numFmtId="0" fontId="0" fillId="0" borderId="65" xfId="0" applyBorder="1"/>
    <xf numFmtId="168" fontId="0" fillId="0" borderId="59" xfId="0" applyNumberFormat="1" applyBorder="1"/>
    <xf numFmtId="0" fontId="18" fillId="2" borderId="24" xfId="0" applyFont="1" applyFill="1" applyBorder="1"/>
    <xf numFmtId="2" fontId="18" fillId="0" borderId="25" xfId="0" applyNumberFormat="1" applyFont="1" applyBorder="1"/>
    <xf numFmtId="0" fontId="3" fillId="0" borderId="0" xfId="0" applyFont="1" applyAlignment="1">
      <alignment horizontal="center"/>
    </xf>
    <xf numFmtId="2" fontId="3" fillId="0" borderId="1" xfId="0" applyNumberFormat="1" applyFont="1" applyBorder="1"/>
    <xf numFmtId="0" fontId="3" fillId="0" borderId="27" xfId="0" applyFont="1" applyBorder="1"/>
    <xf numFmtId="2" fontId="0" fillId="0" borderId="30" xfId="0" applyNumberFormat="1" applyBorder="1"/>
    <xf numFmtId="0" fontId="18" fillId="8" borderId="24" xfId="0" applyFont="1" applyFill="1" applyBorder="1"/>
    <xf numFmtId="0" fontId="0" fillId="0" borderId="33" xfId="0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9" borderId="1" xfId="0" applyFill="1" applyBorder="1"/>
    <xf numFmtId="0" fontId="0" fillId="9" borderId="30" xfId="0" applyFill="1" applyBorder="1"/>
    <xf numFmtId="0" fontId="27" fillId="0" borderId="30" xfId="0" applyFont="1" applyBorder="1" applyAlignment="1">
      <alignment horizontal="center" vertical="center" wrapText="1"/>
    </xf>
    <xf numFmtId="0" fontId="26" fillId="0" borderId="36" xfId="0" applyFont="1" applyBorder="1"/>
    <xf numFmtId="1" fontId="27" fillId="0" borderId="33" xfId="0" applyNumberFormat="1" applyFont="1" applyBorder="1" applyAlignment="1">
      <alignment horizontal="right"/>
    </xf>
    <xf numFmtId="1" fontId="27" fillId="0" borderId="33" xfId="0" applyNumberFormat="1" applyFont="1" applyBorder="1"/>
    <xf numFmtId="0" fontId="27" fillId="0" borderId="23" xfId="0" applyFont="1" applyBorder="1"/>
    <xf numFmtId="0" fontId="26" fillId="0" borderId="27" xfId="0" applyFont="1" applyBorder="1"/>
    <xf numFmtId="2" fontId="26" fillId="0" borderId="1" xfId="0" applyNumberFormat="1" applyFont="1" applyBorder="1" applyAlignment="1">
      <alignment horizontal="right"/>
    </xf>
    <xf numFmtId="2" fontId="26" fillId="0" borderId="1" xfId="0" applyNumberFormat="1" applyFont="1" applyBorder="1"/>
    <xf numFmtId="0" fontId="26" fillId="0" borderId="28" xfId="0" applyFont="1" applyBorder="1"/>
    <xf numFmtId="0" fontId="26" fillId="0" borderId="29" xfId="0" applyFont="1" applyBorder="1"/>
    <xf numFmtId="0" fontId="26" fillId="0" borderId="30" xfId="0" applyFont="1" applyBorder="1" applyAlignment="1">
      <alignment horizontal="right"/>
    </xf>
    <xf numFmtId="0" fontId="26" fillId="0" borderId="30" xfId="0" applyFont="1" applyBorder="1"/>
    <xf numFmtId="0" fontId="26" fillId="0" borderId="31" xfId="0" applyFont="1" applyBorder="1"/>
    <xf numFmtId="0" fontId="6" fillId="0" borderId="24" xfId="0" applyFont="1" applyBorder="1"/>
    <xf numFmtId="0" fontId="6" fillId="0" borderId="27" xfId="0" applyFont="1" applyBorder="1"/>
    <xf numFmtId="2" fontId="6" fillId="0" borderId="1" xfId="0" applyNumberFormat="1" applyFont="1" applyBorder="1"/>
    <xf numFmtId="0" fontId="6" fillId="0" borderId="28" xfId="0" applyFont="1" applyBorder="1"/>
    <xf numFmtId="2" fontId="6" fillId="2" borderId="1" xfId="0" applyNumberFormat="1" applyFont="1" applyFill="1" applyBorder="1"/>
    <xf numFmtId="165" fontId="6" fillId="0" borderId="1" xfId="0" applyNumberFormat="1" applyFont="1" applyBorder="1"/>
    <xf numFmtId="0" fontId="6" fillId="0" borderId="29" xfId="0" applyFont="1" applyBorder="1"/>
    <xf numFmtId="1" fontId="6" fillId="0" borderId="30" xfId="0" applyNumberFormat="1" applyFont="1" applyBorder="1"/>
    <xf numFmtId="0" fontId="6" fillId="0" borderId="31" xfId="0" applyFont="1" applyBorder="1"/>
    <xf numFmtId="0" fontId="6" fillId="0" borderId="7" xfId="0" applyFont="1" applyBorder="1"/>
    <xf numFmtId="2" fontId="6" fillId="0" borderId="7" xfId="0" applyNumberFormat="1" applyFont="1" applyBorder="1"/>
    <xf numFmtId="0" fontId="26" fillId="0" borderId="2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165" fontId="26" fillId="0" borderId="24" xfId="0" applyNumberFormat="1" applyFont="1" applyBorder="1" applyAlignment="1">
      <alignment horizontal="center"/>
    </xf>
    <xf numFmtId="165" fontId="26" fillId="0" borderId="25" xfId="0" applyNumberFormat="1" applyFont="1" applyBorder="1" applyAlignment="1">
      <alignment horizontal="center"/>
    </xf>
    <xf numFmtId="165" fontId="26" fillId="0" borderId="26" xfId="0" applyNumberFormat="1" applyFont="1" applyBorder="1" applyAlignment="1">
      <alignment horizontal="center"/>
    </xf>
    <xf numFmtId="165" fontId="26" fillId="0" borderId="27" xfId="0" applyNumberFormat="1" applyFont="1" applyBorder="1" applyAlignment="1">
      <alignment horizontal="center"/>
    </xf>
    <xf numFmtId="165" fontId="26" fillId="0" borderId="1" xfId="0" applyNumberFormat="1" applyFont="1" applyBorder="1" applyAlignment="1">
      <alignment horizontal="center"/>
    </xf>
    <xf numFmtId="165" fontId="26" fillId="0" borderId="28" xfId="0" applyNumberFormat="1" applyFont="1" applyBorder="1" applyAlignment="1">
      <alignment horizontal="center"/>
    </xf>
    <xf numFmtId="165" fontId="26" fillId="0" borderId="29" xfId="0" applyNumberFormat="1" applyFont="1" applyBorder="1" applyAlignment="1">
      <alignment horizontal="center"/>
    </xf>
    <xf numFmtId="165" fontId="26" fillId="0" borderId="30" xfId="0" applyNumberFormat="1" applyFont="1" applyBorder="1" applyAlignment="1">
      <alignment horizontal="center"/>
    </xf>
    <xf numFmtId="165" fontId="26" fillId="0" borderId="31" xfId="0" applyNumberFormat="1" applyFont="1" applyBorder="1" applyAlignment="1">
      <alignment horizontal="center"/>
    </xf>
    <xf numFmtId="0" fontId="25" fillId="0" borderId="0" xfId="0" applyFont="1"/>
    <xf numFmtId="0" fontId="26" fillId="0" borderId="1" xfId="0" applyFont="1" applyBorder="1"/>
    <xf numFmtId="165" fontId="10" fillId="0" borderId="0" xfId="0" applyNumberFormat="1" applyFont="1"/>
    <xf numFmtId="167" fontId="10" fillId="0" borderId="0" xfId="0" applyNumberFormat="1" applyFont="1"/>
    <xf numFmtId="1" fontId="0" fillId="0" borderId="23" xfId="0" applyNumberFormat="1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2" fontId="18" fillId="0" borderId="0" xfId="0" applyNumberFormat="1" applyFont="1" applyAlignment="1">
      <alignment horizontal="center" vertical="center" wrapText="1"/>
    </xf>
    <xf numFmtId="10" fontId="0" fillId="0" borderId="14" xfId="2" applyNumberFormat="1" applyFont="1" applyBorder="1" applyAlignment="1">
      <alignment horizontal="center"/>
    </xf>
    <xf numFmtId="10" fontId="0" fillId="0" borderId="22" xfId="2" applyNumberFormat="1" applyFont="1" applyBorder="1" applyAlignment="1">
      <alignment horizontal="center"/>
    </xf>
    <xf numFmtId="1" fontId="0" fillId="0" borderId="64" xfId="0" applyNumberFormat="1" applyBorder="1" applyAlignment="1">
      <alignment horizontal="center"/>
    </xf>
    <xf numFmtId="2" fontId="20" fillId="0" borderId="0" xfId="0" applyNumberFormat="1" applyFont="1" applyAlignment="1">
      <alignment horizontal="center"/>
    </xf>
    <xf numFmtId="0" fontId="0" fillId="0" borderId="23" xfId="0" applyBorder="1" applyAlignment="1">
      <alignment horizontal="center"/>
    </xf>
    <xf numFmtId="0" fontId="0" fillId="0" borderId="28" xfId="0" applyBorder="1" applyAlignment="1">
      <alignment horizontal="center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2" fontId="18" fillId="0" borderId="25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9" fontId="18" fillId="0" borderId="0" xfId="2" applyFont="1" applyBorder="1" applyAlignment="1">
      <alignment horizontal="center" vertical="center"/>
    </xf>
    <xf numFmtId="9" fontId="0" fillId="0" borderId="0" xfId="2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0" fontId="1" fillId="0" borderId="27" xfId="0" applyFont="1" applyBorder="1"/>
    <xf numFmtId="0" fontId="0" fillId="0" borderId="27" xfId="0" applyBorder="1" applyAlignment="1">
      <alignment horizontal="center"/>
    </xf>
    <xf numFmtId="2" fontId="0" fillId="0" borderId="28" xfId="0" applyNumberFormat="1" applyBorder="1" applyAlignment="1">
      <alignment horizontal="center"/>
    </xf>
    <xf numFmtId="0" fontId="0" fillId="0" borderId="29" xfId="0" applyBorder="1" applyAlignment="1">
      <alignment horizontal="center"/>
    </xf>
    <xf numFmtId="2" fontId="0" fillId="0" borderId="31" xfId="0" applyNumberFormat="1" applyBorder="1" applyAlignment="1">
      <alignment horizont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right" vertical="center"/>
    </xf>
    <xf numFmtId="0" fontId="0" fillId="0" borderId="18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70" xfId="0" applyBorder="1" applyAlignment="1">
      <alignment horizontal="right" vertical="center"/>
    </xf>
    <xf numFmtId="0" fontId="0" fillId="0" borderId="52" xfId="0" applyBorder="1" applyAlignment="1">
      <alignment horizontal="left" vertical="center"/>
    </xf>
    <xf numFmtId="0" fontId="18" fillId="0" borderId="3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18" fillId="0" borderId="29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2" borderId="0" xfId="0" applyFill="1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0" xfId="0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0" fillId="9" borderId="0" xfId="0" applyFill="1" applyAlignment="1">
      <alignment vertical="center"/>
    </xf>
    <xf numFmtId="0" fontId="0" fillId="0" borderId="49" xfId="0" applyBorder="1" applyAlignment="1">
      <alignment horizontal="left" vertical="top" wrapText="1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64" xfId="0" applyBorder="1" applyAlignment="1">
      <alignment horizontal="center" vertical="center"/>
    </xf>
    <xf numFmtId="0" fontId="40" fillId="0" borderId="30" xfId="0" applyFont="1" applyBorder="1" applyAlignment="1">
      <alignment horizontal="center" vertical="center"/>
    </xf>
    <xf numFmtId="0" fontId="40" fillId="0" borderId="63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15" xfId="0" applyBorder="1" applyAlignment="1">
      <alignment horizontal="left" vertical="center"/>
    </xf>
    <xf numFmtId="0" fontId="41" fillId="0" borderId="30" xfId="0" applyFont="1" applyBorder="1" applyAlignment="1">
      <alignment horizontal="center" vertical="center"/>
    </xf>
    <xf numFmtId="0" fontId="41" fillId="0" borderId="63" xfId="0" applyFont="1" applyBorder="1" applyAlignment="1">
      <alignment horizontal="center" vertical="center"/>
    </xf>
    <xf numFmtId="165" fontId="0" fillId="0" borderId="33" xfId="0" applyNumberFormat="1" applyBorder="1"/>
    <xf numFmtId="165" fontId="0" fillId="0" borderId="23" xfId="0" applyNumberFormat="1" applyBorder="1"/>
    <xf numFmtId="165" fontId="0" fillId="0" borderId="1" xfId="0" applyNumberFormat="1" applyBorder="1"/>
    <xf numFmtId="165" fontId="0" fillId="0" borderId="28" xfId="0" applyNumberFormat="1" applyBorder="1"/>
    <xf numFmtId="168" fontId="0" fillId="0" borderId="0" xfId="0" applyNumberFormat="1"/>
    <xf numFmtId="165" fontId="0" fillId="0" borderId="0" xfId="0" applyNumberFormat="1"/>
    <xf numFmtId="168" fontId="0" fillId="0" borderId="48" xfId="0" applyNumberFormat="1" applyBorder="1"/>
    <xf numFmtId="165" fontId="0" fillId="0" borderId="12" xfId="0" applyNumberFormat="1" applyBorder="1"/>
    <xf numFmtId="0" fontId="0" fillId="0" borderId="11" xfId="0" applyBorder="1"/>
    <xf numFmtId="0" fontId="0" fillId="0" borderId="12" xfId="0" applyBorder="1"/>
    <xf numFmtId="0" fontId="0" fillId="0" borderId="21" xfId="0" applyBorder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0" fillId="3" borderId="0" xfId="0" applyFill="1"/>
    <xf numFmtId="0" fontId="1" fillId="3" borderId="0" xfId="0" applyFont="1" applyFill="1"/>
    <xf numFmtId="2" fontId="0" fillId="3" borderId="0" xfId="0" applyNumberFormat="1" applyFill="1"/>
    <xf numFmtId="0" fontId="0" fillId="3" borderId="2" xfId="0" applyFill="1" applyBorder="1"/>
    <xf numFmtId="0" fontId="1" fillId="3" borderId="2" xfId="0" applyFont="1" applyFill="1" applyBorder="1"/>
    <xf numFmtId="0" fontId="42" fillId="3" borderId="0" xfId="0" applyFont="1" applyFill="1"/>
    <xf numFmtId="0" fontId="42" fillId="3" borderId="2" xfId="0" applyFont="1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49" xfId="0" applyFill="1" applyBorder="1"/>
    <xf numFmtId="0" fontId="0" fillId="3" borderId="20" xfId="0" applyFill="1" applyBorder="1"/>
    <xf numFmtId="0" fontId="42" fillId="3" borderId="20" xfId="0" applyFont="1" applyFill="1" applyBorder="1"/>
    <xf numFmtId="0" fontId="0" fillId="3" borderId="6" xfId="0" applyFill="1" applyBorder="1"/>
    <xf numFmtId="0" fontId="42" fillId="3" borderId="7" xfId="0" applyFont="1" applyFill="1" applyBorder="1"/>
    <xf numFmtId="0" fontId="1" fillId="3" borderId="7" xfId="0" applyFont="1" applyFill="1" applyBorder="1"/>
    <xf numFmtId="0" fontId="36" fillId="3" borderId="8" xfId="0" applyFont="1" applyFill="1" applyBorder="1"/>
    <xf numFmtId="164" fontId="36" fillId="3" borderId="7" xfId="0" applyNumberFormat="1" applyFont="1" applyFill="1" applyBorder="1"/>
    <xf numFmtId="0" fontId="18" fillId="0" borderId="7" xfId="0" applyFont="1" applyBorder="1" applyAlignment="1">
      <alignment horizontal="center" vertical="center" wrapText="1"/>
    </xf>
    <xf numFmtId="2" fontId="18" fillId="0" borderId="8" xfId="0" applyNumberFormat="1" applyFont="1" applyBorder="1" applyAlignment="1">
      <alignment horizontal="center" vertical="center" wrapText="1"/>
    </xf>
    <xf numFmtId="0" fontId="42" fillId="3" borderId="7" xfId="0" applyFont="1" applyFill="1" applyBorder="1" applyAlignment="1">
      <alignment wrapText="1"/>
    </xf>
    <xf numFmtId="0" fontId="18" fillId="8" borderId="10" xfId="0" applyFont="1" applyFill="1" applyBorder="1" applyAlignment="1">
      <alignment horizontal="center" vertical="center"/>
    </xf>
    <xf numFmtId="1" fontId="0" fillId="0" borderId="10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9" fontId="0" fillId="0" borderId="0" xfId="2" applyFont="1" applyBorder="1" applyAlignment="1">
      <alignment horizontal="center"/>
    </xf>
    <xf numFmtId="2" fontId="0" fillId="0" borderId="23" xfId="0" applyNumberFormat="1" applyBorder="1"/>
    <xf numFmtId="2" fontId="0" fillId="0" borderId="28" xfId="0" applyNumberFormat="1" applyBorder="1"/>
    <xf numFmtId="2" fontId="0" fillId="0" borderId="31" xfId="0" applyNumberFormat="1" applyBorder="1"/>
    <xf numFmtId="164" fontId="0" fillId="0" borderId="33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30" xfId="0" applyNumberForma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9" fontId="1" fillId="0" borderId="0" xfId="2" applyFont="1" applyBorder="1" applyAlignment="1">
      <alignment horizontal="center" vertical="center" wrapText="1"/>
    </xf>
    <xf numFmtId="169" fontId="0" fillId="0" borderId="0" xfId="2" applyNumberFormat="1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9" fontId="27" fillId="0" borderId="1" xfId="2" applyFont="1" applyBorder="1" applyAlignment="1">
      <alignment horizontal="center" vertical="center"/>
    </xf>
    <xf numFmtId="9" fontId="27" fillId="0" borderId="28" xfId="2" applyFont="1" applyBorder="1" applyAlignment="1">
      <alignment horizontal="center" vertical="center"/>
    </xf>
    <xf numFmtId="9" fontId="26" fillId="0" borderId="32" xfId="2" applyFont="1" applyBorder="1" applyAlignment="1">
      <alignment horizontal="center" vertical="center"/>
    </xf>
    <xf numFmtId="9" fontId="26" fillId="0" borderId="32" xfId="2" applyFont="1" applyBorder="1" applyAlignment="1">
      <alignment horizontal="center" vertical="center" wrapText="1"/>
    </xf>
    <xf numFmtId="9" fontId="26" fillId="0" borderId="34" xfId="2" applyFont="1" applyBorder="1" applyAlignment="1">
      <alignment horizontal="center" vertical="center" wrapText="1"/>
    </xf>
    <xf numFmtId="0" fontId="26" fillId="0" borderId="25" xfId="0" applyFont="1" applyBorder="1" applyAlignment="1">
      <alignment horizontal="left" vertical="center"/>
    </xf>
    <xf numFmtId="0" fontId="26" fillId="0" borderId="25" xfId="0" applyFont="1" applyBorder="1" applyAlignment="1">
      <alignment horizontal="center" vertical="center" wrapText="1"/>
    </xf>
    <xf numFmtId="2" fontId="26" fillId="0" borderId="25" xfId="0" applyNumberFormat="1" applyFont="1" applyBorder="1" applyAlignment="1">
      <alignment horizontal="center" vertical="center" wrapText="1"/>
    </xf>
    <xf numFmtId="9" fontId="26" fillId="0" borderId="25" xfId="2" applyFont="1" applyBorder="1" applyAlignment="1">
      <alignment horizontal="center" vertical="center"/>
    </xf>
    <xf numFmtId="9" fontId="26" fillId="0" borderId="26" xfId="2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center"/>
    </xf>
    <xf numFmtId="2" fontId="26" fillId="0" borderId="1" xfId="0" applyNumberFormat="1" applyFont="1" applyBorder="1" applyAlignment="1">
      <alignment horizontal="center" vertical="center" wrapText="1"/>
    </xf>
    <xf numFmtId="9" fontId="26" fillId="0" borderId="1" xfId="2" applyFont="1" applyBorder="1" applyAlignment="1">
      <alignment horizontal="center" vertical="center"/>
    </xf>
    <xf numFmtId="9" fontId="26" fillId="0" borderId="28" xfId="2" applyFont="1" applyBorder="1" applyAlignment="1">
      <alignment horizontal="center" vertical="center"/>
    </xf>
    <xf numFmtId="169" fontId="26" fillId="0" borderId="1" xfId="2" applyNumberFormat="1" applyFont="1" applyBorder="1" applyAlignment="1">
      <alignment horizontal="center" vertical="center"/>
    </xf>
    <xf numFmtId="169" fontId="26" fillId="0" borderId="28" xfId="2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2" fontId="27" fillId="0" borderId="8" xfId="0" applyNumberFormat="1" applyFont="1" applyBorder="1" applyAlignment="1">
      <alignment horizontal="center" vertical="center" wrapText="1"/>
    </xf>
    <xf numFmtId="0" fontId="40" fillId="0" borderId="70" xfId="0" applyFont="1" applyBorder="1" applyAlignment="1">
      <alignment horizontal="right" vertical="center"/>
    </xf>
    <xf numFmtId="0" fontId="40" fillId="0" borderId="52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44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 wrapText="1"/>
    </xf>
    <xf numFmtId="9" fontId="46" fillId="0" borderId="1" xfId="2" applyFont="1" applyBorder="1" applyAlignment="1">
      <alignment horizontal="center" vertical="center"/>
    </xf>
    <xf numFmtId="9" fontId="46" fillId="0" borderId="28" xfId="2" applyFont="1" applyBorder="1" applyAlignment="1">
      <alignment horizontal="center" vertical="center"/>
    </xf>
    <xf numFmtId="9" fontId="48" fillId="0" borderId="32" xfId="2" applyFont="1" applyBorder="1" applyAlignment="1">
      <alignment horizontal="center" vertical="center"/>
    </xf>
    <xf numFmtId="9" fontId="48" fillId="0" borderId="32" xfId="2" applyFont="1" applyBorder="1" applyAlignment="1">
      <alignment horizontal="center" vertical="center" wrapText="1"/>
    </xf>
    <xf numFmtId="9" fontId="48" fillId="0" borderId="34" xfId="2" applyFont="1" applyBorder="1" applyAlignment="1">
      <alignment horizontal="center" vertical="center" wrapText="1"/>
    </xf>
    <xf numFmtId="0" fontId="49" fillId="0" borderId="24" xfId="0" applyFont="1" applyBorder="1" applyAlignment="1">
      <alignment horizontal="center" vertical="center"/>
    </xf>
    <xf numFmtId="0" fontId="48" fillId="0" borderId="25" xfId="0" applyFont="1" applyBorder="1" applyAlignment="1">
      <alignment horizontal="left" vertical="center"/>
    </xf>
    <xf numFmtId="0" fontId="49" fillId="0" borderId="25" xfId="0" applyFont="1" applyBorder="1" applyAlignment="1">
      <alignment horizontal="center" vertical="center" wrapText="1"/>
    </xf>
    <xf numFmtId="2" fontId="49" fillId="0" borderId="25" xfId="0" applyNumberFormat="1" applyFont="1" applyBorder="1" applyAlignment="1">
      <alignment horizontal="center" vertical="center" wrapText="1"/>
    </xf>
    <xf numFmtId="9" fontId="49" fillId="0" borderId="25" xfId="2" applyFont="1" applyBorder="1" applyAlignment="1">
      <alignment horizontal="center" vertical="center"/>
    </xf>
    <xf numFmtId="9" fontId="49" fillId="0" borderId="26" xfId="2" applyFont="1" applyBorder="1" applyAlignment="1">
      <alignment horizontal="center" vertical="center"/>
    </xf>
    <xf numFmtId="0" fontId="49" fillId="0" borderId="27" xfId="0" applyFont="1" applyBorder="1" applyAlignment="1">
      <alignment horizontal="center" vertical="center"/>
    </xf>
    <xf numFmtId="0" fontId="48" fillId="0" borderId="1" xfId="0" applyFont="1" applyBorder="1" applyAlignment="1">
      <alignment horizontal="left" vertical="center"/>
    </xf>
    <xf numFmtId="2" fontId="49" fillId="0" borderId="1" xfId="0" applyNumberFormat="1" applyFont="1" applyBorder="1" applyAlignment="1">
      <alignment horizontal="center" vertical="center" wrapText="1"/>
    </xf>
    <xf numFmtId="9" fontId="49" fillId="0" borderId="1" xfId="2" applyFont="1" applyBorder="1" applyAlignment="1">
      <alignment horizontal="center" vertical="center"/>
    </xf>
    <xf numFmtId="9" fontId="49" fillId="0" borderId="28" xfId="2" applyFont="1" applyBorder="1" applyAlignment="1">
      <alignment horizontal="center" vertical="center"/>
    </xf>
    <xf numFmtId="0" fontId="48" fillId="0" borderId="1" xfId="0" applyFont="1" applyBorder="1"/>
    <xf numFmtId="169" fontId="49" fillId="0" borderId="1" xfId="2" applyNumberFormat="1" applyFont="1" applyBorder="1" applyAlignment="1">
      <alignment horizontal="center" vertical="center"/>
    </xf>
    <xf numFmtId="169" fontId="49" fillId="0" borderId="28" xfId="2" applyNumberFormat="1" applyFont="1" applyBorder="1" applyAlignment="1">
      <alignment horizontal="center" vertical="center"/>
    </xf>
    <xf numFmtId="0" fontId="49" fillId="0" borderId="1" xfId="0" applyFont="1" applyBorder="1" applyAlignment="1">
      <alignment horizontal="center" vertical="center" wrapText="1"/>
    </xf>
    <xf numFmtId="0" fontId="49" fillId="0" borderId="29" xfId="0" applyFont="1" applyBorder="1" applyAlignment="1">
      <alignment horizontal="center" vertical="center"/>
    </xf>
    <xf numFmtId="0" fontId="48" fillId="0" borderId="30" xfId="0" applyFont="1" applyBorder="1" applyAlignment="1">
      <alignment horizontal="left" vertical="center"/>
    </xf>
    <xf numFmtId="0" fontId="49" fillId="0" borderId="30" xfId="0" applyFont="1" applyBorder="1" applyAlignment="1">
      <alignment horizontal="center" vertical="center" wrapText="1"/>
    </xf>
    <xf numFmtId="9" fontId="49" fillId="0" borderId="30" xfId="2" applyFont="1" applyBorder="1" applyAlignment="1">
      <alignment horizontal="center" vertical="center"/>
    </xf>
    <xf numFmtId="9" fontId="49" fillId="0" borderId="31" xfId="2" applyFont="1" applyBorder="1" applyAlignment="1">
      <alignment horizontal="center" vertical="center"/>
    </xf>
    <xf numFmtId="0" fontId="49" fillId="0" borderId="0" xfId="0" applyFont="1"/>
    <xf numFmtId="0" fontId="6" fillId="2" borderId="1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19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13" xfId="0" applyFont="1" applyBorder="1" applyAlignment="1">
      <alignment horizontal="left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left" vertical="center"/>
    </xf>
    <xf numFmtId="2" fontId="6" fillId="2" borderId="32" xfId="0" applyNumberFormat="1" applyFont="1" applyFill="1" applyBorder="1" applyAlignment="1">
      <alignment horizontal="right" vertical="center"/>
    </xf>
    <xf numFmtId="2" fontId="6" fillId="2" borderId="33" xfId="0" applyNumberFormat="1" applyFont="1" applyFill="1" applyBorder="1" applyAlignment="1">
      <alignment horizontal="right" vertical="center"/>
    </xf>
    <xf numFmtId="0" fontId="6" fillId="2" borderId="34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35" xfId="0" applyFont="1" applyBorder="1" applyAlignment="1">
      <alignment horizontal="left" vertical="center"/>
    </xf>
    <xf numFmtId="0" fontId="10" fillId="0" borderId="36" xfId="0" applyFont="1" applyBorder="1" applyAlignment="1">
      <alignment horizontal="left" vertical="center"/>
    </xf>
    <xf numFmtId="2" fontId="10" fillId="0" borderId="11" xfId="0" applyNumberFormat="1" applyFont="1" applyBorder="1" applyAlignment="1">
      <alignment horizontal="center" vertical="center"/>
    </xf>
    <xf numFmtId="2" fontId="10" fillId="0" borderId="21" xfId="0" applyNumberFormat="1" applyFont="1" applyBorder="1" applyAlignment="1">
      <alignment horizontal="center" vertical="center"/>
    </xf>
    <xf numFmtId="2" fontId="10" fillId="0" borderId="14" xfId="0" applyNumberFormat="1" applyFont="1" applyBorder="1" applyAlignment="1">
      <alignment horizontal="center" vertical="center"/>
    </xf>
    <xf numFmtId="2" fontId="10" fillId="0" borderId="20" xfId="0" applyNumberFormat="1" applyFont="1" applyBorder="1" applyAlignment="1">
      <alignment horizontal="center" vertical="center"/>
    </xf>
    <xf numFmtId="0" fontId="38" fillId="0" borderId="37" xfId="0" applyFont="1" applyBorder="1" applyAlignment="1">
      <alignment horizontal="center"/>
    </xf>
    <xf numFmtId="0" fontId="38" fillId="0" borderId="38" xfId="0" applyFont="1" applyBorder="1" applyAlignment="1">
      <alignment horizontal="center"/>
    </xf>
    <xf numFmtId="0" fontId="38" fillId="0" borderId="39" xfId="0" applyFont="1" applyBorder="1" applyAlignment="1">
      <alignment horizontal="center"/>
    </xf>
    <xf numFmtId="0" fontId="26" fillId="0" borderId="41" xfId="0" applyFont="1" applyBorder="1" applyAlignment="1">
      <alignment horizontal="left"/>
    </xf>
    <xf numFmtId="0" fontId="26" fillId="0" borderId="42" xfId="0" applyFont="1" applyBorder="1" applyAlignment="1">
      <alignment horizontal="left"/>
    </xf>
    <xf numFmtId="0" fontId="26" fillId="0" borderId="0" xfId="0" applyFont="1" applyAlignment="1">
      <alignment horizontal="left"/>
    </xf>
    <xf numFmtId="0" fontId="26" fillId="0" borderId="10" xfId="0" applyFont="1" applyBorder="1" applyAlignment="1">
      <alignment horizontal="left"/>
    </xf>
    <xf numFmtId="0" fontId="27" fillId="0" borderId="24" xfId="0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27" fillId="0" borderId="25" xfId="0" applyFont="1" applyBorder="1" applyAlignment="1">
      <alignment horizontal="center"/>
    </xf>
    <xf numFmtId="0" fontId="0" fillId="0" borderId="30" xfId="0" applyBorder="1" applyAlignment="1">
      <alignment horizontal="left"/>
    </xf>
    <xf numFmtId="0" fontId="18" fillId="0" borderId="24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8" fillId="0" borderId="26" xfId="0" applyFont="1" applyBorder="1" applyAlignment="1">
      <alignment horizontal="center"/>
    </xf>
    <xf numFmtId="0" fontId="18" fillId="9" borderId="29" xfId="0" applyFont="1" applyFill="1" applyBorder="1" applyAlignment="1">
      <alignment horizontal="center"/>
    </xf>
    <xf numFmtId="0" fontId="18" fillId="9" borderId="30" xfId="0" applyFont="1" applyFill="1" applyBorder="1" applyAlignment="1">
      <alignment horizontal="center"/>
    </xf>
    <xf numFmtId="0" fontId="18" fillId="0" borderId="30" xfId="0" applyFont="1" applyBorder="1" applyAlignment="1">
      <alignment horizontal="center"/>
    </xf>
    <xf numFmtId="0" fontId="18" fillId="0" borderId="3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3" xfId="0" applyBorder="1" applyAlignment="1">
      <alignment horizontal="left"/>
    </xf>
    <xf numFmtId="0" fontId="23" fillId="0" borderId="1" xfId="0" applyFont="1" applyBorder="1" applyAlignment="1">
      <alignment horizontal="left"/>
    </xf>
    <xf numFmtId="0" fontId="18" fillId="0" borderId="29" xfId="0" applyFont="1" applyBorder="1" applyAlignment="1">
      <alignment horizontal="center"/>
    </xf>
    <xf numFmtId="0" fontId="23" fillId="0" borderId="27" xfId="0" applyFont="1" applyBorder="1" applyAlignment="1">
      <alignment horizontal="left"/>
    </xf>
    <xf numFmtId="0" fontId="0" fillId="0" borderId="36" xfId="0" applyBorder="1" applyAlignment="1">
      <alignment horizontal="left"/>
    </xf>
    <xf numFmtId="0" fontId="21" fillId="0" borderId="0" xfId="0" applyFont="1" applyAlignment="1">
      <alignment horizontal="center"/>
    </xf>
    <xf numFmtId="0" fontId="21" fillId="0" borderId="24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38" fillId="0" borderId="45" xfId="0" applyFont="1" applyBorder="1" applyAlignment="1">
      <alignment horizontal="center" vertical="center" wrapText="1"/>
    </xf>
    <xf numFmtId="0" fontId="38" fillId="0" borderId="43" xfId="0" applyFont="1" applyBorder="1" applyAlignment="1">
      <alignment horizontal="center" vertical="center" wrapText="1"/>
    </xf>
    <xf numFmtId="0" fontId="38" fillId="0" borderId="44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0" fontId="21" fillId="0" borderId="3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0" fillId="9" borderId="27" xfId="0" applyFill="1" applyBorder="1" applyAlignment="1">
      <alignment horizontal="left"/>
    </xf>
    <xf numFmtId="0" fontId="0" fillId="9" borderId="1" xfId="0" applyFill="1" applyBorder="1" applyAlignment="1">
      <alignment horizontal="left"/>
    </xf>
    <xf numFmtId="0" fontId="0" fillId="9" borderId="33" xfId="0" applyFill="1" applyBorder="1" applyAlignment="1">
      <alignment horizontal="left"/>
    </xf>
    <xf numFmtId="0" fontId="0" fillId="9" borderId="36" xfId="0" applyFill="1" applyBorder="1" applyAlignment="1">
      <alignment horizontal="left"/>
    </xf>
    <xf numFmtId="0" fontId="0" fillId="9" borderId="29" xfId="0" applyFill="1" applyBorder="1" applyAlignment="1">
      <alignment horizontal="left"/>
    </xf>
    <xf numFmtId="0" fontId="0" fillId="9" borderId="30" xfId="0" applyFill="1" applyBorder="1" applyAlignment="1">
      <alignment horizontal="left"/>
    </xf>
    <xf numFmtId="0" fontId="26" fillId="0" borderId="33" xfId="0" applyFont="1" applyBorder="1" applyAlignment="1">
      <alignment horizontal="left"/>
    </xf>
    <xf numFmtId="0" fontId="26" fillId="0" borderId="23" xfId="0" applyFont="1" applyBorder="1" applyAlignment="1">
      <alignment horizontal="left"/>
    </xf>
    <xf numFmtId="0" fontId="26" fillId="0" borderId="1" xfId="0" applyFont="1" applyBorder="1" applyAlignment="1">
      <alignment horizontal="left"/>
    </xf>
    <xf numFmtId="0" fontId="26" fillId="0" borderId="28" xfId="0" applyFont="1" applyBorder="1" applyAlignment="1">
      <alignment horizontal="left"/>
    </xf>
    <xf numFmtId="0" fontId="25" fillId="0" borderId="3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26" fillId="0" borderId="0" xfId="0" applyFont="1" applyAlignment="1">
      <alignment horizontal="left" wrapText="1"/>
    </xf>
    <xf numFmtId="0" fontId="26" fillId="0" borderId="10" xfId="0" applyFont="1" applyBorder="1" applyAlignment="1">
      <alignment horizontal="left" wrapText="1"/>
    </xf>
    <xf numFmtId="0" fontId="26" fillId="0" borderId="40" xfId="0" applyFont="1" applyBorder="1" applyAlignment="1">
      <alignment horizontal="center"/>
    </xf>
    <xf numFmtId="0" fontId="26" fillId="0" borderId="41" xfId="0" applyFont="1" applyBorder="1" applyAlignment="1">
      <alignment horizontal="center"/>
    </xf>
    <xf numFmtId="0" fontId="26" fillId="0" borderId="42" xfId="0" applyFont="1" applyBorder="1" applyAlignment="1">
      <alignment horizontal="center"/>
    </xf>
    <xf numFmtId="0" fontId="28" fillId="0" borderId="1" xfId="0" applyFont="1" applyBorder="1" applyAlignment="1">
      <alignment horizontal="center" vertical="center"/>
    </xf>
    <xf numFmtId="0" fontId="29" fillId="0" borderId="1" xfId="0" quotePrefix="1" applyFont="1" applyBorder="1" applyAlignment="1">
      <alignment horizontal="left"/>
    </xf>
    <xf numFmtId="0" fontId="29" fillId="0" borderId="1" xfId="0" quotePrefix="1" applyFont="1" applyBorder="1" applyAlignment="1">
      <alignment horizontal="left" wrapText="1"/>
    </xf>
    <xf numFmtId="0" fontId="27" fillId="0" borderId="6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7" fillId="0" borderId="8" xfId="0" applyFont="1" applyBorder="1" applyAlignment="1">
      <alignment horizontal="center"/>
    </xf>
    <xf numFmtId="0" fontId="26" fillId="0" borderId="1" xfId="0" quotePrefix="1" applyFont="1" applyBorder="1" applyAlignment="1">
      <alignment horizontal="left"/>
    </xf>
    <xf numFmtId="0" fontId="28" fillId="0" borderId="3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left"/>
    </xf>
    <xf numFmtId="0" fontId="18" fillId="0" borderId="16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53" xfId="0" applyFont="1" applyBorder="1" applyAlignment="1">
      <alignment horizontal="center"/>
    </xf>
    <xf numFmtId="0" fontId="18" fillId="0" borderId="57" xfId="0" applyFont="1" applyBorder="1" applyAlignment="1">
      <alignment horizontal="center"/>
    </xf>
    <xf numFmtId="0" fontId="18" fillId="0" borderId="58" xfId="0" applyFont="1" applyBorder="1" applyAlignment="1">
      <alignment horizontal="center"/>
    </xf>
    <xf numFmtId="0" fontId="0" fillId="0" borderId="41" xfId="0" applyBorder="1" applyAlignment="1">
      <alignment horizontal="left"/>
    </xf>
    <xf numFmtId="0" fontId="18" fillId="0" borderId="5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left" wrapText="1"/>
    </xf>
    <xf numFmtId="0" fontId="0" fillId="0" borderId="42" xfId="0" applyBorder="1" applyAlignment="1">
      <alignment horizontal="left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3" borderId="48" xfId="0" applyFont="1" applyFill="1" applyBorder="1" applyAlignment="1">
      <alignment horizontal="left"/>
    </xf>
    <xf numFmtId="0" fontId="18" fillId="3" borderId="13" xfId="0" applyFont="1" applyFill="1" applyBorder="1" applyAlignment="1">
      <alignment horizontal="left"/>
    </xf>
    <xf numFmtId="0" fontId="18" fillId="3" borderId="21" xfId="0" applyFont="1" applyFill="1" applyBorder="1" applyAlignment="1">
      <alignment horizontal="left"/>
    </xf>
    <xf numFmtId="0" fontId="18" fillId="3" borderId="53" xfId="0" applyFont="1" applyFill="1" applyBorder="1" applyAlignment="1">
      <alignment horizontal="center"/>
    </xf>
    <xf numFmtId="0" fontId="18" fillId="3" borderId="57" xfId="0" applyFont="1" applyFill="1" applyBorder="1" applyAlignment="1">
      <alignment horizontal="center"/>
    </xf>
    <xf numFmtId="0" fontId="18" fillId="3" borderId="58" xfId="0" applyFont="1" applyFill="1" applyBorder="1" applyAlignment="1">
      <alignment horizontal="center"/>
    </xf>
    <xf numFmtId="0" fontId="18" fillId="8" borderId="53" xfId="0" applyFont="1" applyFill="1" applyBorder="1" applyAlignment="1">
      <alignment horizontal="center"/>
    </xf>
    <xf numFmtId="0" fontId="18" fillId="8" borderId="57" xfId="0" applyFont="1" applyFill="1" applyBorder="1" applyAlignment="1">
      <alignment horizontal="center"/>
    </xf>
    <xf numFmtId="0" fontId="18" fillId="8" borderId="25" xfId="0" applyFont="1" applyFill="1" applyBorder="1" applyAlignment="1">
      <alignment horizontal="center"/>
    </xf>
    <xf numFmtId="0" fontId="18" fillId="8" borderId="26" xfId="0" applyFont="1" applyFill="1" applyBorder="1" applyAlignment="1">
      <alignment horizontal="center"/>
    </xf>
    <xf numFmtId="0" fontId="18" fillId="8" borderId="3" xfId="0" applyFont="1" applyFill="1" applyBorder="1" applyAlignment="1">
      <alignment horizontal="center"/>
    </xf>
    <xf numFmtId="0" fontId="18" fillId="8" borderId="4" xfId="0" applyFont="1" applyFill="1" applyBorder="1" applyAlignment="1">
      <alignment horizontal="center"/>
    </xf>
    <xf numFmtId="0" fontId="18" fillId="8" borderId="5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0" fontId="18" fillId="2" borderId="4" xfId="0" applyFont="1" applyFill="1" applyBorder="1" applyAlignment="1">
      <alignment horizontal="center"/>
    </xf>
    <xf numFmtId="0" fontId="18" fillId="2" borderId="5" xfId="0" applyFont="1" applyFill="1" applyBorder="1" applyAlignment="1">
      <alignment horizontal="center"/>
    </xf>
    <xf numFmtId="0" fontId="18" fillId="6" borderId="3" xfId="0" applyFont="1" applyFill="1" applyBorder="1" applyAlignment="1">
      <alignment horizontal="center"/>
    </xf>
    <xf numFmtId="0" fontId="18" fillId="6" borderId="4" xfId="0" applyFont="1" applyFill="1" applyBorder="1" applyAlignment="1">
      <alignment horizontal="center"/>
    </xf>
    <xf numFmtId="0" fontId="18" fillId="6" borderId="5" xfId="0" applyFont="1" applyFill="1" applyBorder="1" applyAlignment="1">
      <alignment horizontal="center"/>
    </xf>
    <xf numFmtId="0" fontId="0" fillId="0" borderId="16" xfId="0" quotePrefix="1" applyBorder="1" applyAlignment="1">
      <alignment horizontal="left"/>
    </xf>
    <xf numFmtId="0" fontId="0" fillId="0" borderId="18" xfId="0" quotePrefix="1" applyBorder="1" applyAlignment="1">
      <alignment horizontal="left"/>
    </xf>
    <xf numFmtId="0" fontId="18" fillId="5" borderId="3" xfId="0" applyFont="1" applyFill="1" applyBorder="1" applyAlignment="1">
      <alignment horizontal="center"/>
    </xf>
    <xf numFmtId="0" fontId="18" fillId="5" borderId="4" xfId="0" applyFont="1" applyFill="1" applyBorder="1" applyAlignment="1">
      <alignment horizontal="center"/>
    </xf>
    <xf numFmtId="0" fontId="18" fillId="5" borderId="5" xfId="0" applyFont="1" applyFill="1" applyBorder="1" applyAlignment="1">
      <alignment horizontal="center"/>
    </xf>
    <xf numFmtId="0" fontId="33" fillId="7" borderId="3" xfId="0" applyFont="1" applyFill="1" applyBorder="1" applyAlignment="1">
      <alignment horizontal="center"/>
    </xf>
    <xf numFmtId="0" fontId="33" fillId="7" borderId="4" xfId="0" applyFont="1" applyFill="1" applyBorder="1" applyAlignment="1">
      <alignment horizontal="center"/>
    </xf>
    <xf numFmtId="0" fontId="33" fillId="7" borderId="5" xfId="0" applyFont="1" applyFill="1" applyBorder="1" applyAlignment="1">
      <alignment horizontal="center"/>
    </xf>
    <xf numFmtId="0" fontId="18" fillId="8" borderId="67" xfId="0" applyFont="1" applyFill="1" applyBorder="1" applyAlignment="1">
      <alignment horizontal="center" vertical="center"/>
    </xf>
    <xf numFmtId="0" fontId="18" fillId="8" borderId="68" xfId="0" applyFont="1" applyFill="1" applyBorder="1" applyAlignment="1">
      <alignment horizontal="center" vertical="center"/>
    </xf>
    <xf numFmtId="0" fontId="18" fillId="8" borderId="69" xfId="0" applyFont="1" applyFill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43" fillId="0" borderId="3" xfId="0" applyFont="1" applyBorder="1" applyAlignment="1">
      <alignment horizontal="center"/>
    </xf>
    <xf numFmtId="0" fontId="43" fillId="0" borderId="4" xfId="0" applyFont="1" applyBorder="1" applyAlignment="1">
      <alignment horizontal="center"/>
    </xf>
    <xf numFmtId="0" fontId="43" fillId="0" borderId="5" xfId="0" applyFont="1" applyBorder="1" applyAlignment="1">
      <alignment horizontal="center"/>
    </xf>
    <xf numFmtId="0" fontId="18" fillId="2" borderId="24" xfId="0" applyFont="1" applyFill="1" applyBorder="1" applyAlignment="1">
      <alignment horizontal="center" vertical="center"/>
    </xf>
    <xf numFmtId="0" fontId="18" fillId="2" borderId="25" xfId="0" applyFont="1" applyFill="1" applyBorder="1" applyAlignment="1">
      <alignment horizontal="center" vertical="center"/>
    </xf>
    <xf numFmtId="0" fontId="18" fillId="2" borderId="26" xfId="0" applyFont="1" applyFill="1" applyBorder="1" applyAlignment="1">
      <alignment horizontal="center" vertical="center"/>
    </xf>
    <xf numFmtId="0" fontId="18" fillId="2" borderId="24" xfId="0" applyFont="1" applyFill="1" applyBorder="1" applyAlignment="1">
      <alignment horizontal="center"/>
    </xf>
    <xf numFmtId="0" fontId="18" fillId="2" borderId="26" xfId="0" applyFont="1" applyFill="1" applyBorder="1" applyAlignment="1">
      <alignment horizontal="center"/>
    </xf>
    <xf numFmtId="0" fontId="18" fillId="8" borderId="24" xfId="0" applyFont="1" applyFill="1" applyBorder="1" applyAlignment="1">
      <alignment horizontal="center" vertical="center"/>
    </xf>
    <xf numFmtId="0" fontId="18" fillId="8" borderId="25" xfId="0" applyFont="1" applyFill="1" applyBorder="1" applyAlignment="1">
      <alignment horizontal="center" vertical="center"/>
    </xf>
    <xf numFmtId="0" fontId="18" fillId="8" borderId="66" xfId="0" applyFont="1" applyFill="1" applyBorder="1" applyAlignment="1">
      <alignment horizontal="center" vertical="center"/>
    </xf>
    <xf numFmtId="0" fontId="18" fillId="8" borderId="26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9" borderId="24" xfId="0" applyFont="1" applyFill="1" applyBorder="1" applyAlignment="1">
      <alignment horizontal="center"/>
    </xf>
    <xf numFmtId="0" fontId="18" fillId="9" borderId="25" xfId="0" applyFont="1" applyFill="1" applyBorder="1" applyAlignment="1">
      <alignment horizontal="center"/>
    </xf>
    <xf numFmtId="0" fontId="18" fillId="9" borderId="26" xfId="0" applyFont="1" applyFill="1" applyBorder="1" applyAlignment="1">
      <alignment horizontal="center"/>
    </xf>
    <xf numFmtId="0" fontId="37" fillId="0" borderId="3" xfId="0" applyFont="1" applyBorder="1" applyAlignment="1">
      <alignment horizontal="center"/>
    </xf>
    <xf numFmtId="0" fontId="37" fillId="0" borderId="4" xfId="0" applyFont="1" applyBorder="1" applyAlignment="1">
      <alignment horizontal="center"/>
    </xf>
    <xf numFmtId="0" fontId="37" fillId="0" borderId="5" xfId="0" applyFont="1" applyBorder="1" applyAlignment="1">
      <alignment horizontal="center"/>
    </xf>
    <xf numFmtId="0" fontId="46" fillId="0" borderId="24" xfId="0" applyFont="1" applyBorder="1" applyAlignment="1">
      <alignment horizontal="center" vertical="center"/>
    </xf>
    <xf numFmtId="0" fontId="46" fillId="0" borderId="27" xfId="0" applyFont="1" applyBorder="1" applyAlignment="1">
      <alignment horizontal="center" vertical="center"/>
    </xf>
    <xf numFmtId="0" fontId="46" fillId="0" borderId="35" xfId="0" applyFont="1" applyBorder="1" applyAlignment="1">
      <alignment horizontal="center" vertical="center"/>
    </xf>
    <xf numFmtId="0" fontId="45" fillId="0" borderId="6" xfId="0" applyFont="1" applyBorder="1" applyAlignment="1">
      <alignment horizontal="center" vertical="center"/>
    </xf>
    <xf numFmtId="0" fontId="45" fillId="0" borderId="7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0" fontId="46" fillId="0" borderId="4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7" fillId="0" borderId="25" xfId="0" applyFont="1" applyBorder="1" applyAlignment="1">
      <alignment horizontal="center" vertical="center" wrapText="1"/>
    </xf>
    <xf numFmtId="9" fontId="47" fillId="0" borderId="25" xfId="2" applyFont="1" applyBorder="1" applyAlignment="1">
      <alignment horizontal="center" vertical="center"/>
    </xf>
    <xf numFmtId="9" fontId="47" fillId="0" borderId="26" xfId="2" applyFont="1" applyBorder="1" applyAlignment="1">
      <alignment horizontal="center" vertical="center"/>
    </xf>
    <xf numFmtId="0" fontId="47" fillId="0" borderId="25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7" fillId="0" borderId="32" xfId="0" applyFont="1" applyBorder="1" applyAlignment="1">
      <alignment horizontal="left" vertical="center"/>
    </xf>
    <xf numFmtId="0" fontId="47" fillId="0" borderId="1" xfId="0" applyFont="1" applyBorder="1" applyAlignment="1">
      <alignment horizontal="center" vertical="center" wrapText="1"/>
    </xf>
    <xf numFmtId="0" fontId="47" fillId="0" borderId="32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35" xfId="0" applyFont="1" applyBorder="1" applyAlignment="1">
      <alignment horizontal="center" vertical="center"/>
    </xf>
    <xf numFmtId="0" fontId="27" fillId="0" borderId="25" xfId="0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/>
    </xf>
    <xf numFmtId="0" fontId="27" fillId="0" borderId="32" xfId="0" applyFont="1" applyBorder="1" applyAlignment="1">
      <alignment horizontal="left" vertical="center"/>
    </xf>
    <xf numFmtId="0" fontId="27" fillId="0" borderId="25" xfId="0" applyFont="1" applyBorder="1" applyAlignment="1">
      <alignment horizontal="center" vertical="center" wrapText="1"/>
    </xf>
    <xf numFmtId="9" fontId="27" fillId="0" borderId="25" xfId="2" applyFont="1" applyBorder="1" applyAlignment="1">
      <alignment horizontal="center" vertical="center"/>
    </xf>
    <xf numFmtId="9" fontId="27" fillId="0" borderId="26" xfId="2" applyFont="1" applyBorder="1" applyAlignment="1">
      <alignment horizontal="center" vertical="center"/>
    </xf>
    <xf numFmtId="0" fontId="27" fillId="0" borderId="32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center"/>
    </xf>
    <xf numFmtId="0" fontId="46" fillId="0" borderId="4" xfId="0" applyFont="1" applyBorder="1" applyAlignment="1">
      <alignment horizontal="center"/>
    </xf>
    <xf numFmtId="0" fontId="46" fillId="0" borderId="5" xfId="0" applyFont="1" applyBorder="1" applyAlignment="1">
      <alignment horizontal="center"/>
    </xf>
    <xf numFmtId="0" fontId="0" fillId="0" borderId="4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39" fillId="0" borderId="40" xfId="0" applyFont="1" applyBorder="1" applyAlignment="1">
      <alignment horizontal="center" vertical="center"/>
    </xf>
    <xf numFmtId="0" fontId="39" fillId="0" borderId="41" xfId="0" applyFont="1" applyBorder="1" applyAlignment="1">
      <alignment horizontal="center" vertical="center"/>
    </xf>
    <xf numFmtId="0" fontId="39" fillId="0" borderId="42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39" fillId="0" borderId="8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0" fillId="0" borderId="40" xfId="0" applyBorder="1" applyAlignment="1">
      <alignment horizontal="left" vertical="top" wrapText="1"/>
    </xf>
    <xf numFmtId="0" fontId="18" fillId="0" borderId="28" xfId="0" applyFont="1" applyBorder="1" applyAlignment="1">
      <alignment horizontal="center" vertical="center"/>
    </xf>
    <xf numFmtId="0" fontId="0" fillId="0" borderId="27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7" xfId="0" applyBorder="1" applyAlignment="1">
      <alignment vertical="center"/>
    </xf>
    <xf numFmtId="0" fontId="0" fillId="0" borderId="1" xfId="0" applyBorder="1" applyAlignment="1">
      <alignment vertical="center"/>
    </xf>
    <xf numFmtId="0" fontId="18" fillId="0" borderId="24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4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</cellXfs>
  <cellStyles count="4">
    <cellStyle name="Hyperlink" xfId="3" builtinId="8"/>
    <cellStyle name="Normal" xfId="0" builtinId="0"/>
    <cellStyle name="Normal_Regresi" xfId="1" xr:uid="{998160AD-3FD2-42E8-B06E-D053E6B5550E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Perbandingan Hambatan dengan Kecepatan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'Resistance (maxsurf)'!$C$6:$G$6</c:f>
              <c:strCache>
                <c:ptCount val="1"/>
                <c:pt idx="0">
                  <c:v>Monohull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3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B4-4273-A917-D6FE145C48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'Resistance (maxsurf)'!$B$11:$B$50</c:f>
              <c:numCache>
                <c:formatCode>0.000</c:formatCode>
                <c:ptCount val="40"/>
                <c:pt idx="0">
                  <c:v>0.26500000000000001</c:v>
                </c:pt>
                <c:pt idx="1">
                  <c:v>0.53</c:v>
                </c:pt>
                <c:pt idx="2">
                  <c:v>0.79500000000000004</c:v>
                </c:pt>
                <c:pt idx="3">
                  <c:v>1.06</c:v>
                </c:pt>
                <c:pt idx="4">
                  <c:v>1.325</c:v>
                </c:pt>
                <c:pt idx="5">
                  <c:v>1.59</c:v>
                </c:pt>
                <c:pt idx="6">
                  <c:v>1.855</c:v>
                </c:pt>
                <c:pt idx="7">
                  <c:v>2.12</c:v>
                </c:pt>
                <c:pt idx="8">
                  <c:v>2.3849999999999998</c:v>
                </c:pt>
                <c:pt idx="9">
                  <c:v>2.65</c:v>
                </c:pt>
                <c:pt idx="10">
                  <c:v>2.915</c:v>
                </c:pt>
                <c:pt idx="11">
                  <c:v>3.18</c:v>
                </c:pt>
                <c:pt idx="12">
                  <c:v>3.4449999999999998</c:v>
                </c:pt>
                <c:pt idx="13">
                  <c:v>3.71</c:v>
                </c:pt>
                <c:pt idx="14">
                  <c:v>3.9750000000000001</c:v>
                </c:pt>
                <c:pt idx="15">
                  <c:v>4.24</c:v>
                </c:pt>
                <c:pt idx="16">
                  <c:v>4.5049999999999999</c:v>
                </c:pt>
                <c:pt idx="17">
                  <c:v>4.7699999999999996</c:v>
                </c:pt>
                <c:pt idx="18">
                  <c:v>5.0350000000000001</c:v>
                </c:pt>
                <c:pt idx="19">
                  <c:v>5.3</c:v>
                </c:pt>
                <c:pt idx="20">
                  <c:v>5.5650000000000004</c:v>
                </c:pt>
                <c:pt idx="21">
                  <c:v>5.83</c:v>
                </c:pt>
                <c:pt idx="22">
                  <c:v>6.0949999999999998</c:v>
                </c:pt>
                <c:pt idx="23">
                  <c:v>6.36</c:v>
                </c:pt>
                <c:pt idx="24">
                  <c:v>6.625</c:v>
                </c:pt>
                <c:pt idx="25">
                  <c:v>6.89</c:v>
                </c:pt>
                <c:pt idx="26">
                  <c:v>7.1550000000000002</c:v>
                </c:pt>
                <c:pt idx="27">
                  <c:v>7.42</c:v>
                </c:pt>
                <c:pt idx="28">
                  <c:v>7.6849999999999996</c:v>
                </c:pt>
                <c:pt idx="29">
                  <c:v>7.95</c:v>
                </c:pt>
                <c:pt idx="30">
                  <c:v>8.2149999999999999</c:v>
                </c:pt>
                <c:pt idx="31">
                  <c:v>8.48</c:v>
                </c:pt>
                <c:pt idx="32">
                  <c:v>8.7449999999999992</c:v>
                </c:pt>
                <c:pt idx="33">
                  <c:v>9.01</c:v>
                </c:pt>
                <c:pt idx="34">
                  <c:v>9.2750000000000004</c:v>
                </c:pt>
                <c:pt idx="35">
                  <c:v>9.5399999999999991</c:v>
                </c:pt>
                <c:pt idx="36">
                  <c:v>9.8049999999999997</c:v>
                </c:pt>
                <c:pt idx="37">
                  <c:v>10.07</c:v>
                </c:pt>
                <c:pt idx="38">
                  <c:v>10.335000000000001</c:v>
                </c:pt>
                <c:pt idx="39">
                  <c:v>10.6</c:v>
                </c:pt>
              </c:numCache>
            </c:numRef>
          </c:xVal>
          <c:yVal>
            <c:numRef>
              <c:f>'Resistance (maxsurf)'!$D$11:$D$50</c:f>
              <c:numCache>
                <c:formatCode>0.000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0.1</c:v>
                </c:pt>
                <c:pt idx="3">
                  <c:v>0.2</c:v>
                </c:pt>
                <c:pt idx="4">
                  <c:v>0.2</c:v>
                </c:pt>
                <c:pt idx="5">
                  <c:v>0.3</c:v>
                </c:pt>
                <c:pt idx="6">
                  <c:v>0.4</c:v>
                </c:pt>
                <c:pt idx="7">
                  <c:v>0.5</c:v>
                </c:pt>
                <c:pt idx="8">
                  <c:v>0.7</c:v>
                </c:pt>
                <c:pt idx="9">
                  <c:v>0.8</c:v>
                </c:pt>
                <c:pt idx="10">
                  <c:v>1</c:v>
                </c:pt>
                <c:pt idx="11">
                  <c:v>1.2</c:v>
                </c:pt>
                <c:pt idx="12">
                  <c:v>1.3</c:v>
                </c:pt>
                <c:pt idx="13">
                  <c:v>1.6</c:v>
                </c:pt>
                <c:pt idx="14">
                  <c:v>1.8</c:v>
                </c:pt>
                <c:pt idx="15">
                  <c:v>2</c:v>
                </c:pt>
                <c:pt idx="16">
                  <c:v>2.2000000000000002</c:v>
                </c:pt>
                <c:pt idx="17">
                  <c:v>2.5</c:v>
                </c:pt>
                <c:pt idx="18">
                  <c:v>2.8</c:v>
                </c:pt>
                <c:pt idx="19">
                  <c:v>3.1</c:v>
                </c:pt>
                <c:pt idx="20">
                  <c:v>3.4</c:v>
                </c:pt>
                <c:pt idx="21">
                  <c:v>3.7</c:v>
                </c:pt>
                <c:pt idx="22">
                  <c:v>4.0999999999999996</c:v>
                </c:pt>
                <c:pt idx="23">
                  <c:v>4.4000000000000004</c:v>
                </c:pt>
                <c:pt idx="24">
                  <c:v>4.9000000000000004</c:v>
                </c:pt>
                <c:pt idx="25">
                  <c:v>5.3</c:v>
                </c:pt>
                <c:pt idx="26">
                  <c:v>5.9</c:v>
                </c:pt>
                <c:pt idx="27">
                  <c:v>6.5</c:v>
                </c:pt>
                <c:pt idx="28">
                  <c:v>7.1</c:v>
                </c:pt>
                <c:pt idx="29">
                  <c:v>7.9</c:v>
                </c:pt>
                <c:pt idx="30">
                  <c:v>8.6999999999999993</c:v>
                </c:pt>
                <c:pt idx="31">
                  <c:v>9.6</c:v>
                </c:pt>
                <c:pt idx="32">
                  <c:v>10.5</c:v>
                </c:pt>
                <c:pt idx="33">
                  <c:v>11.7</c:v>
                </c:pt>
                <c:pt idx="34">
                  <c:v>13.1</c:v>
                </c:pt>
                <c:pt idx="35">
                  <c:v>14.9</c:v>
                </c:pt>
                <c:pt idx="36">
                  <c:v>17.100000000000001</c:v>
                </c:pt>
                <c:pt idx="37">
                  <c:v>19.5</c:v>
                </c:pt>
                <c:pt idx="38">
                  <c:v>21.9</c:v>
                </c:pt>
                <c:pt idx="39">
                  <c:v>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B55-49BC-9515-BDBCBE5C8367}"/>
            </c:ext>
          </c:extLst>
        </c:ser>
        <c:ser>
          <c:idx val="1"/>
          <c:order val="1"/>
          <c:tx>
            <c:strRef>
              <c:f>'Resistance (maxsurf)'!$H$6:$J$6</c:f>
              <c:strCache>
                <c:ptCount val="1"/>
                <c:pt idx="0">
                  <c:v>Catamaran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3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B4-4273-A917-D6FE145C48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'Resistance (maxsurf)'!$B$11:$B$50</c:f>
              <c:numCache>
                <c:formatCode>0.000</c:formatCode>
                <c:ptCount val="40"/>
                <c:pt idx="0">
                  <c:v>0.26500000000000001</c:v>
                </c:pt>
                <c:pt idx="1">
                  <c:v>0.53</c:v>
                </c:pt>
                <c:pt idx="2">
                  <c:v>0.79500000000000004</c:v>
                </c:pt>
                <c:pt idx="3">
                  <c:v>1.06</c:v>
                </c:pt>
                <c:pt idx="4">
                  <c:v>1.325</c:v>
                </c:pt>
                <c:pt idx="5">
                  <c:v>1.59</c:v>
                </c:pt>
                <c:pt idx="6">
                  <c:v>1.855</c:v>
                </c:pt>
                <c:pt idx="7">
                  <c:v>2.12</c:v>
                </c:pt>
                <c:pt idx="8">
                  <c:v>2.3849999999999998</c:v>
                </c:pt>
                <c:pt idx="9">
                  <c:v>2.65</c:v>
                </c:pt>
                <c:pt idx="10">
                  <c:v>2.915</c:v>
                </c:pt>
                <c:pt idx="11">
                  <c:v>3.18</c:v>
                </c:pt>
                <c:pt idx="12">
                  <c:v>3.4449999999999998</c:v>
                </c:pt>
                <c:pt idx="13">
                  <c:v>3.71</c:v>
                </c:pt>
                <c:pt idx="14">
                  <c:v>3.9750000000000001</c:v>
                </c:pt>
                <c:pt idx="15">
                  <c:v>4.24</c:v>
                </c:pt>
                <c:pt idx="16">
                  <c:v>4.5049999999999999</c:v>
                </c:pt>
                <c:pt idx="17">
                  <c:v>4.7699999999999996</c:v>
                </c:pt>
                <c:pt idx="18">
                  <c:v>5.0350000000000001</c:v>
                </c:pt>
                <c:pt idx="19">
                  <c:v>5.3</c:v>
                </c:pt>
                <c:pt idx="20">
                  <c:v>5.5650000000000004</c:v>
                </c:pt>
                <c:pt idx="21">
                  <c:v>5.83</c:v>
                </c:pt>
                <c:pt idx="22">
                  <c:v>6.0949999999999998</c:v>
                </c:pt>
                <c:pt idx="23">
                  <c:v>6.36</c:v>
                </c:pt>
                <c:pt idx="24">
                  <c:v>6.625</c:v>
                </c:pt>
                <c:pt idx="25">
                  <c:v>6.89</c:v>
                </c:pt>
                <c:pt idx="26">
                  <c:v>7.1550000000000002</c:v>
                </c:pt>
                <c:pt idx="27">
                  <c:v>7.42</c:v>
                </c:pt>
                <c:pt idx="28">
                  <c:v>7.6849999999999996</c:v>
                </c:pt>
                <c:pt idx="29">
                  <c:v>7.95</c:v>
                </c:pt>
                <c:pt idx="30">
                  <c:v>8.2149999999999999</c:v>
                </c:pt>
                <c:pt idx="31">
                  <c:v>8.48</c:v>
                </c:pt>
                <c:pt idx="32">
                  <c:v>8.7449999999999992</c:v>
                </c:pt>
                <c:pt idx="33">
                  <c:v>9.01</c:v>
                </c:pt>
                <c:pt idx="34">
                  <c:v>9.2750000000000004</c:v>
                </c:pt>
                <c:pt idx="35">
                  <c:v>9.5399999999999991</c:v>
                </c:pt>
                <c:pt idx="36">
                  <c:v>9.8049999999999997</c:v>
                </c:pt>
                <c:pt idx="37">
                  <c:v>10.07</c:v>
                </c:pt>
                <c:pt idx="38">
                  <c:v>10.335000000000001</c:v>
                </c:pt>
                <c:pt idx="39">
                  <c:v>10.6</c:v>
                </c:pt>
              </c:numCache>
            </c:numRef>
          </c:xVal>
          <c:yVal>
            <c:numRef>
              <c:f>'Resistance (maxsurf)'!$I$11:$I$50</c:f>
              <c:numCache>
                <c:formatCode>0.000</c:formatCode>
                <c:ptCount val="40"/>
                <c:pt idx="0">
                  <c:v>0</c:v>
                </c:pt>
                <c:pt idx="1">
                  <c:v>0.1</c:v>
                </c:pt>
                <c:pt idx="2">
                  <c:v>0.1</c:v>
                </c:pt>
                <c:pt idx="3">
                  <c:v>0.2</c:v>
                </c:pt>
                <c:pt idx="4">
                  <c:v>0.4</c:v>
                </c:pt>
                <c:pt idx="5">
                  <c:v>0.5</c:v>
                </c:pt>
                <c:pt idx="6">
                  <c:v>0.7</c:v>
                </c:pt>
                <c:pt idx="7">
                  <c:v>0.9</c:v>
                </c:pt>
                <c:pt idx="8">
                  <c:v>1.1000000000000001</c:v>
                </c:pt>
                <c:pt idx="9">
                  <c:v>1.3</c:v>
                </c:pt>
                <c:pt idx="10">
                  <c:v>1.6</c:v>
                </c:pt>
                <c:pt idx="11">
                  <c:v>1.9</c:v>
                </c:pt>
                <c:pt idx="12">
                  <c:v>2.2000000000000002</c:v>
                </c:pt>
                <c:pt idx="13">
                  <c:v>2.6</c:v>
                </c:pt>
                <c:pt idx="14">
                  <c:v>2.9</c:v>
                </c:pt>
                <c:pt idx="15">
                  <c:v>3.3</c:v>
                </c:pt>
                <c:pt idx="16">
                  <c:v>3.7</c:v>
                </c:pt>
                <c:pt idx="17">
                  <c:v>4.2</c:v>
                </c:pt>
                <c:pt idx="18">
                  <c:v>4.5999999999999996</c:v>
                </c:pt>
                <c:pt idx="19">
                  <c:v>5.2</c:v>
                </c:pt>
                <c:pt idx="20">
                  <c:v>5.7</c:v>
                </c:pt>
                <c:pt idx="21">
                  <c:v>6.2</c:v>
                </c:pt>
                <c:pt idx="22">
                  <c:v>6.9</c:v>
                </c:pt>
                <c:pt idx="23">
                  <c:v>7.4</c:v>
                </c:pt>
                <c:pt idx="24">
                  <c:v>8.1999999999999993</c:v>
                </c:pt>
                <c:pt idx="25">
                  <c:v>9.1</c:v>
                </c:pt>
                <c:pt idx="26">
                  <c:v>9.6</c:v>
                </c:pt>
                <c:pt idx="27">
                  <c:v>10.199999999999999</c:v>
                </c:pt>
                <c:pt idx="28">
                  <c:v>11.5</c:v>
                </c:pt>
                <c:pt idx="29">
                  <c:v>12.8</c:v>
                </c:pt>
                <c:pt idx="30">
                  <c:v>13.6</c:v>
                </c:pt>
                <c:pt idx="31">
                  <c:v>14.1</c:v>
                </c:pt>
                <c:pt idx="32">
                  <c:v>14.6</c:v>
                </c:pt>
                <c:pt idx="33">
                  <c:v>15.5</c:v>
                </c:pt>
                <c:pt idx="34">
                  <c:v>16.8</c:v>
                </c:pt>
                <c:pt idx="35">
                  <c:v>18.399999999999999</c:v>
                </c:pt>
                <c:pt idx="36">
                  <c:v>19.899999999999999</c:v>
                </c:pt>
                <c:pt idx="37">
                  <c:v>21.1</c:v>
                </c:pt>
                <c:pt idx="38">
                  <c:v>24</c:v>
                </c:pt>
                <c:pt idx="39">
                  <c:v>25.7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B55-49BC-9515-BDBCBE5C8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8037391"/>
        <c:axId val="2078040271"/>
      </c:scatterChart>
      <c:valAx>
        <c:axId val="2078037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Kecepatan (Knot)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78040271"/>
        <c:crosses val="autoZero"/>
        <c:crossBetween val="midCat"/>
      </c:valAx>
      <c:valAx>
        <c:axId val="2078040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Hambatan (kN)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7803739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Perbandingan Daya (EHP) dengan Kecepatan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'Resistance (maxsurf)'!$C$6:$G$6</c:f>
              <c:strCache>
                <c:ptCount val="1"/>
                <c:pt idx="0">
                  <c:v>Monohull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3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EC-410E-897D-2D011126E7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'Resistance (maxsurf)'!$B$11:$B$50</c:f>
              <c:numCache>
                <c:formatCode>0.000</c:formatCode>
                <c:ptCount val="40"/>
                <c:pt idx="0">
                  <c:v>0.26500000000000001</c:v>
                </c:pt>
                <c:pt idx="1">
                  <c:v>0.53</c:v>
                </c:pt>
                <c:pt idx="2">
                  <c:v>0.79500000000000004</c:v>
                </c:pt>
                <c:pt idx="3">
                  <c:v>1.06</c:v>
                </c:pt>
                <c:pt idx="4">
                  <c:v>1.325</c:v>
                </c:pt>
                <c:pt idx="5">
                  <c:v>1.59</c:v>
                </c:pt>
                <c:pt idx="6">
                  <c:v>1.855</c:v>
                </c:pt>
                <c:pt idx="7">
                  <c:v>2.12</c:v>
                </c:pt>
                <c:pt idx="8">
                  <c:v>2.3849999999999998</c:v>
                </c:pt>
                <c:pt idx="9">
                  <c:v>2.65</c:v>
                </c:pt>
                <c:pt idx="10">
                  <c:v>2.915</c:v>
                </c:pt>
                <c:pt idx="11">
                  <c:v>3.18</c:v>
                </c:pt>
                <c:pt idx="12">
                  <c:v>3.4449999999999998</c:v>
                </c:pt>
                <c:pt idx="13">
                  <c:v>3.71</c:v>
                </c:pt>
                <c:pt idx="14">
                  <c:v>3.9750000000000001</c:v>
                </c:pt>
                <c:pt idx="15">
                  <c:v>4.24</c:v>
                </c:pt>
                <c:pt idx="16">
                  <c:v>4.5049999999999999</c:v>
                </c:pt>
                <c:pt idx="17">
                  <c:v>4.7699999999999996</c:v>
                </c:pt>
                <c:pt idx="18">
                  <c:v>5.0350000000000001</c:v>
                </c:pt>
                <c:pt idx="19">
                  <c:v>5.3</c:v>
                </c:pt>
                <c:pt idx="20">
                  <c:v>5.5650000000000004</c:v>
                </c:pt>
                <c:pt idx="21">
                  <c:v>5.83</c:v>
                </c:pt>
                <c:pt idx="22">
                  <c:v>6.0949999999999998</c:v>
                </c:pt>
                <c:pt idx="23">
                  <c:v>6.36</c:v>
                </c:pt>
                <c:pt idx="24">
                  <c:v>6.625</c:v>
                </c:pt>
                <c:pt idx="25">
                  <c:v>6.89</c:v>
                </c:pt>
                <c:pt idx="26">
                  <c:v>7.1550000000000002</c:v>
                </c:pt>
                <c:pt idx="27">
                  <c:v>7.42</c:v>
                </c:pt>
                <c:pt idx="28">
                  <c:v>7.6849999999999996</c:v>
                </c:pt>
                <c:pt idx="29">
                  <c:v>7.95</c:v>
                </c:pt>
                <c:pt idx="30">
                  <c:v>8.2149999999999999</c:v>
                </c:pt>
                <c:pt idx="31">
                  <c:v>8.48</c:v>
                </c:pt>
                <c:pt idx="32">
                  <c:v>8.7449999999999992</c:v>
                </c:pt>
                <c:pt idx="33">
                  <c:v>9.01</c:v>
                </c:pt>
                <c:pt idx="34">
                  <c:v>9.2750000000000004</c:v>
                </c:pt>
                <c:pt idx="35">
                  <c:v>9.5399999999999991</c:v>
                </c:pt>
                <c:pt idx="36">
                  <c:v>9.8049999999999997</c:v>
                </c:pt>
                <c:pt idx="37">
                  <c:v>10.07</c:v>
                </c:pt>
                <c:pt idx="38">
                  <c:v>10.335000000000001</c:v>
                </c:pt>
                <c:pt idx="39">
                  <c:v>10.6</c:v>
                </c:pt>
              </c:numCache>
            </c:numRef>
          </c:xVal>
          <c:yVal>
            <c:numRef>
              <c:f>'Resistance (maxsurf)'!$E$11:$E$50</c:f>
              <c:numCache>
                <c:formatCode>0.000</c:formatCode>
                <c:ptCount val="40"/>
                <c:pt idx="0">
                  <c:v>2E-3</c:v>
                </c:pt>
                <c:pt idx="1">
                  <c:v>1.4999999999999999E-2</c:v>
                </c:pt>
                <c:pt idx="2">
                  <c:v>4.9000000000000002E-2</c:v>
                </c:pt>
                <c:pt idx="3">
                  <c:v>0.11</c:v>
                </c:pt>
                <c:pt idx="4">
                  <c:v>0.20899999999999999</c:v>
                </c:pt>
                <c:pt idx="5">
                  <c:v>0.35099999999999998</c:v>
                </c:pt>
                <c:pt idx="6">
                  <c:v>0.54500000000000004</c:v>
                </c:pt>
                <c:pt idx="7">
                  <c:v>0.79800000000000004</c:v>
                </c:pt>
                <c:pt idx="8">
                  <c:v>1.117</c:v>
                </c:pt>
                <c:pt idx="9">
                  <c:v>1.5089999999999999</c:v>
                </c:pt>
                <c:pt idx="10">
                  <c:v>1.98</c:v>
                </c:pt>
                <c:pt idx="11">
                  <c:v>2.5379999999999998</c:v>
                </c:pt>
                <c:pt idx="12">
                  <c:v>3.1890000000000001</c:v>
                </c:pt>
                <c:pt idx="13">
                  <c:v>3.9460000000000002</c:v>
                </c:pt>
                <c:pt idx="14">
                  <c:v>4.8120000000000003</c:v>
                </c:pt>
                <c:pt idx="15">
                  <c:v>5.7939999999999996</c:v>
                </c:pt>
                <c:pt idx="16">
                  <c:v>6.9029999999999996</c:v>
                </c:pt>
                <c:pt idx="17">
                  <c:v>8.1460000000000008</c:v>
                </c:pt>
                <c:pt idx="18">
                  <c:v>9.5359999999999996</c:v>
                </c:pt>
                <c:pt idx="19">
                  <c:v>11.089</c:v>
                </c:pt>
                <c:pt idx="20">
                  <c:v>12.823</c:v>
                </c:pt>
                <c:pt idx="21">
                  <c:v>14.760999999999999</c:v>
                </c:pt>
                <c:pt idx="22">
                  <c:v>16.934000000000001</c:v>
                </c:pt>
                <c:pt idx="23">
                  <c:v>19.378</c:v>
                </c:pt>
                <c:pt idx="24">
                  <c:v>22.140999999999998</c:v>
                </c:pt>
                <c:pt idx="25">
                  <c:v>25.268999999999998</c:v>
                </c:pt>
                <c:pt idx="26">
                  <c:v>28.814</c:v>
                </c:pt>
                <c:pt idx="27">
                  <c:v>32.889000000000003</c:v>
                </c:pt>
                <c:pt idx="28">
                  <c:v>37.643999999999998</c:v>
                </c:pt>
                <c:pt idx="29">
                  <c:v>43.112000000000002</c:v>
                </c:pt>
                <c:pt idx="30">
                  <c:v>49.154000000000003</c:v>
                </c:pt>
                <c:pt idx="31">
                  <c:v>55.716999999999999</c:v>
                </c:pt>
                <c:pt idx="32">
                  <c:v>63.118000000000002</c:v>
                </c:pt>
                <c:pt idx="33">
                  <c:v>72.034000000000006</c:v>
                </c:pt>
                <c:pt idx="34">
                  <c:v>83.29</c:v>
                </c:pt>
                <c:pt idx="35">
                  <c:v>97.540999999999997</c:v>
                </c:pt>
                <c:pt idx="36">
                  <c:v>114.884</c:v>
                </c:pt>
                <c:pt idx="37">
                  <c:v>134.541</c:v>
                </c:pt>
                <c:pt idx="38">
                  <c:v>154.98699999999999</c:v>
                </c:pt>
                <c:pt idx="39">
                  <c:v>174.62299999999999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FEC-410E-897D-2D011126E749}"/>
            </c:ext>
          </c:extLst>
        </c:ser>
        <c:ser>
          <c:idx val="1"/>
          <c:order val="1"/>
          <c:tx>
            <c:strRef>
              <c:f>'Resistance (maxsurf)'!$H$6:$J$6</c:f>
              <c:strCache>
                <c:ptCount val="1"/>
                <c:pt idx="0">
                  <c:v>Catamaran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3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EC-410E-897D-2D011126E7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'Resistance (maxsurf)'!$B$11:$B$50</c:f>
              <c:numCache>
                <c:formatCode>0.000</c:formatCode>
                <c:ptCount val="40"/>
                <c:pt idx="0">
                  <c:v>0.26500000000000001</c:v>
                </c:pt>
                <c:pt idx="1">
                  <c:v>0.53</c:v>
                </c:pt>
                <c:pt idx="2">
                  <c:v>0.79500000000000004</c:v>
                </c:pt>
                <c:pt idx="3">
                  <c:v>1.06</c:v>
                </c:pt>
                <c:pt idx="4">
                  <c:v>1.325</c:v>
                </c:pt>
                <c:pt idx="5">
                  <c:v>1.59</c:v>
                </c:pt>
                <c:pt idx="6">
                  <c:v>1.855</c:v>
                </c:pt>
                <c:pt idx="7">
                  <c:v>2.12</c:v>
                </c:pt>
                <c:pt idx="8">
                  <c:v>2.3849999999999998</c:v>
                </c:pt>
                <c:pt idx="9">
                  <c:v>2.65</c:v>
                </c:pt>
                <c:pt idx="10">
                  <c:v>2.915</c:v>
                </c:pt>
                <c:pt idx="11">
                  <c:v>3.18</c:v>
                </c:pt>
                <c:pt idx="12">
                  <c:v>3.4449999999999998</c:v>
                </c:pt>
                <c:pt idx="13">
                  <c:v>3.71</c:v>
                </c:pt>
                <c:pt idx="14">
                  <c:v>3.9750000000000001</c:v>
                </c:pt>
                <c:pt idx="15">
                  <c:v>4.24</c:v>
                </c:pt>
                <c:pt idx="16">
                  <c:v>4.5049999999999999</c:v>
                </c:pt>
                <c:pt idx="17">
                  <c:v>4.7699999999999996</c:v>
                </c:pt>
                <c:pt idx="18">
                  <c:v>5.0350000000000001</c:v>
                </c:pt>
                <c:pt idx="19">
                  <c:v>5.3</c:v>
                </c:pt>
                <c:pt idx="20">
                  <c:v>5.5650000000000004</c:v>
                </c:pt>
                <c:pt idx="21">
                  <c:v>5.83</c:v>
                </c:pt>
                <c:pt idx="22">
                  <c:v>6.0949999999999998</c:v>
                </c:pt>
                <c:pt idx="23">
                  <c:v>6.36</c:v>
                </c:pt>
                <c:pt idx="24">
                  <c:v>6.625</c:v>
                </c:pt>
                <c:pt idx="25">
                  <c:v>6.89</c:v>
                </c:pt>
                <c:pt idx="26">
                  <c:v>7.1550000000000002</c:v>
                </c:pt>
                <c:pt idx="27">
                  <c:v>7.42</c:v>
                </c:pt>
                <c:pt idx="28">
                  <c:v>7.6849999999999996</c:v>
                </c:pt>
                <c:pt idx="29">
                  <c:v>7.95</c:v>
                </c:pt>
                <c:pt idx="30">
                  <c:v>8.2149999999999999</c:v>
                </c:pt>
                <c:pt idx="31">
                  <c:v>8.48</c:v>
                </c:pt>
                <c:pt idx="32">
                  <c:v>8.7449999999999992</c:v>
                </c:pt>
                <c:pt idx="33">
                  <c:v>9.01</c:v>
                </c:pt>
                <c:pt idx="34">
                  <c:v>9.2750000000000004</c:v>
                </c:pt>
                <c:pt idx="35">
                  <c:v>9.5399999999999991</c:v>
                </c:pt>
                <c:pt idx="36">
                  <c:v>9.8049999999999997</c:v>
                </c:pt>
                <c:pt idx="37">
                  <c:v>10.07</c:v>
                </c:pt>
                <c:pt idx="38">
                  <c:v>10.335000000000001</c:v>
                </c:pt>
                <c:pt idx="39">
                  <c:v>10.6</c:v>
                </c:pt>
              </c:numCache>
            </c:numRef>
          </c:xVal>
          <c:yVal>
            <c:numRef>
              <c:f>'Resistance (maxsurf)'!$J$11:$J$50</c:f>
              <c:numCache>
                <c:formatCode>0.000</c:formatCode>
                <c:ptCount val="40"/>
                <c:pt idx="0">
                  <c:v>3.0000000000000001E-3</c:v>
                </c:pt>
                <c:pt idx="1">
                  <c:v>2.1999999999999999E-2</c:v>
                </c:pt>
                <c:pt idx="2">
                  <c:v>7.2999999999999995E-2</c:v>
                </c:pt>
                <c:pt idx="3">
                  <c:v>0.16900000000000001</c:v>
                </c:pt>
                <c:pt idx="4">
                  <c:v>0.32400000000000001</c:v>
                </c:pt>
                <c:pt idx="5">
                  <c:v>0.55100000000000005</c:v>
                </c:pt>
                <c:pt idx="6">
                  <c:v>0.86399999999999999</c:v>
                </c:pt>
                <c:pt idx="7">
                  <c:v>1.2749999999999999</c:v>
                </c:pt>
                <c:pt idx="8">
                  <c:v>1.798</c:v>
                </c:pt>
                <c:pt idx="9">
                  <c:v>2.4460000000000002</c:v>
                </c:pt>
                <c:pt idx="10">
                  <c:v>3.23</c:v>
                </c:pt>
                <c:pt idx="11">
                  <c:v>4.1660000000000004</c:v>
                </c:pt>
                <c:pt idx="12">
                  <c:v>5.266</c:v>
                </c:pt>
                <c:pt idx="13">
                  <c:v>6.5419999999999998</c:v>
                </c:pt>
                <c:pt idx="14">
                  <c:v>8.0120000000000005</c:v>
                </c:pt>
                <c:pt idx="15">
                  <c:v>9.6679999999999993</c:v>
                </c:pt>
                <c:pt idx="16">
                  <c:v>11.566000000000001</c:v>
                </c:pt>
                <c:pt idx="17">
                  <c:v>13.693</c:v>
                </c:pt>
                <c:pt idx="18">
                  <c:v>16.042999999999999</c:v>
                </c:pt>
                <c:pt idx="19">
                  <c:v>18.745999999999999</c:v>
                </c:pt>
                <c:pt idx="20">
                  <c:v>21.861000000000001</c:v>
                </c:pt>
                <c:pt idx="21">
                  <c:v>24.806000000000001</c:v>
                </c:pt>
                <c:pt idx="22">
                  <c:v>28.817</c:v>
                </c:pt>
                <c:pt idx="23">
                  <c:v>32.244999999999997</c:v>
                </c:pt>
                <c:pt idx="24">
                  <c:v>37.048000000000002</c:v>
                </c:pt>
                <c:pt idx="25">
                  <c:v>42.911000000000001</c:v>
                </c:pt>
                <c:pt idx="26">
                  <c:v>46.927</c:v>
                </c:pt>
                <c:pt idx="27">
                  <c:v>51.972999999999999</c:v>
                </c:pt>
                <c:pt idx="28">
                  <c:v>60.456000000000003</c:v>
                </c:pt>
                <c:pt idx="29">
                  <c:v>69.78</c:v>
                </c:pt>
                <c:pt idx="30">
                  <c:v>76.808000000000007</c:v>
                </c:pt>
                <c:pt idx="31">
                  <c:v>81.769000000000005</c:v>
                </c:pt>
                <c:pt idx="32">
                  <c:v>87.305999999999997</c:v>
                </c:pt>
                <c:pt idx="33">
                  <c:v>95.65</c:v>
                </c:pt>
                <c:pt idx="34">
                  <c:v>107.119</c:v>
                </c:pt>
                <c:pt idx="35">
                  <c:v>120.423</c:v>
                </c:pt>
                <c:pt idx="36">
                  <c:v>133.76599999999999</c:v>
                </c:pt>
                <c:pt idx="37">
                  <c:v>145.81399999999999</c:v>
                </c:pt>
                <c:pt idx="38">
                  <c:v>174.12100000000001</c:v>
                </c:pt>
                <c:pt idx="39">
                  <c:v>185.09200000000001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EFEC-410E-897D-2D011126E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8037391"/>
        <c:axId val="2078040271"/>
      </c:scatterChart>
      <c:valAx>
        <c:axId val="2078037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Kecepatan (Knot)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78040271"/>
        <c:crosses val="autoZero"/>
        <c:crossBetween val="midCat"/>
      </c:valAx>
      <c:valAx>
        <c:axId val="2078040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Daya (kW)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7803739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Perbandingan Hambatan dengan Daya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'Resistance (maxsurf)'!$C$6:$G$6</c:f>
              <c:strCache>
                <c:ptCount val="1"/>
                <c:pt idx="0">
                  <c:v>Monohull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39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BE-4892-8759-921F2B6A30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'Resistance (maxsurf)'!$D$11:$D$50</c:f>
              <c:numCache>
                <c:formatCode>0.000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0.1</c:v>
                </c:pt>
                <c:pt idx="3">
                  <c:v>0.2</c:v>
                </c:pt>
                <c:pt idx="4">
                  <c:v>0.2</c:v>
                </c:pt>
                <c:pt idx="5">
                  <c:v>0.3</c:v>
                </c:pt>
                <c:pt idx="6">
                  <c:v>0.4</c:v>
                </c:pt>
                <c:pt idx="7">
                  <c:v>0.5</c:v>
                </c:pt>
                <c:pt idx="8">
                  <c:v>0.7</c:v>
                </c:pt>
                <c:pt idx="9">
                  <c:v>0.8</c:v>
                </c:pt>
                <c:pt idx="10">
                  <c:v>1</c:v>
                </c:pt>
                <c:pt idx="11">
                  <c:v>1.2</c:v>
                </c:pt>
                <c:pt idx="12">
                  <c:v>1.3</c:v>
                </c:pt>
                <c:pt idx="13">
                  <c:v>1.6</c:v>
                </c:pt>
                <c:pt idx="14">
                  <c:v>1.8</c:v>
                </c:pt>
                <c:pt idx="15">
                  <c:v>2</c:v>
                </c:pt>
                <c:pt idx="16">
                  <c:v>2.2000000000000002</c:v>
                </c:pt>
                <c:pt idx="17">
                  <c:v>2.5</c:v>
                </c:pt>
                <c:pt idx="18">
                  <c:v>2.8</c:v>
                </c:pt>
                <c:pt idx="19">
                  <c:v>3.1</c:v>
                </c:pt>
                <c:pt idx="20">
                  <c:v>3.4</c:v>
                </c:pt>
                <c:pt idx="21">
                  <c:v>3.7</c:v>
                </c:pt>
                <c:pt idx="22">
                  <c:v>4.0999999999999996</c:v>
                </c:pt>
                <c:pt idx="23">
                  <c:v>4.4000000000000004</c:v>
                </c:pt>
                <c:pt idx="24">
                  <c:v>4.9000000000000004</c:v>
                </c:pt>
                <c:pt idx="25">
                  <c:v>5.3</c:v>
                </c:pt>
                <c:pt idx="26">
                  <c:v>5.9</c:v>
                </c:pt>
                <c:pt idx="27">
                  <c:v>6.5</c:v>
                </c:pt>
                <c:pt idx="28">
                  <c:v>7.1</c:v>
                </c:pt>
                <c:pt idx="29">
                  <c:v>7.9</c:v>
                </c:pt>
                <c:pt idx="30">
                  <c:v>8.6999999999999993</c:v>
                </c:pt>
                <c:pt idx="31">
                  <c:v>9.6</c:v>
                </c:pt>
                <c:pt idx="32">
                  <c:v>10.5</c:v>
                </c:pt>
                <c:pt idx="33">
                  <c:v>11.7</c:v>
                </c:pt>
                <c:pt idx="34">
                  <c:v>13.1</c:v>
                </c:pt>
                <c:pt idx="35">
                  <c:v>14.9</c:v>
                </c:pt>
                <c:pt idx="36">
                  <c:v>17.100000000000001</c:v>
                </c:pt>
                <c:pt idx="37">
                  <c:v>19.5</c:v>
                </c:pt>
                <c:pt idx="38">
                  <c:v>21.9</c:v>
                </c:pt>
                <c:pt idx="39">
                  <c:v>24</c:v>
                </c:pt>
              </c:numCache>
            </c:numRef>
          </c:xVal>
          <c:yVal>
            <c:numRef>
              <c:f>'Resistance (maxsurf)'!$E$11:$E$50</c:f>
              <c:numCache>
                <c:formatCode>0.000</c:formatCode>
                <c:ptCount val="40"/>
                <c:pt idx="0">
                  <c:v>2E-3</c:v>
                </c:pt>
                <c:pt idx="1">
                  <c:v>1.4999999999999999E-2</c:v>
                </c:pt>
                <c:pt idx="2">
                  <c:v>4.9000000000000002E-2</c:v>
                </c:pt>
                <c:pt idx="3">
                  <c:v>0.11</c:v>
                </c:pt>
                <c:pt idx="4">
                  <c:v>0.20899999999999999</c:v>
                </c:pt>
                <c:pt idx="5">
                  <c:v>0.35099999999999998</c:v>
                </c:pt>
                <c:pt idx="6">
                  <c:v>0.54500000000000004</c:v>
                </c:pt>
                <c:pt idx="7">
                  <c:v>0.79800000000000004</c:v>
                </c:pt>
                <c:pt idx="8">
                  <c:v>1.117</c:v>
                </c:pt>
                <c:pt idx="9">
                  <c:v>1.5089999999999999</c:v>
                </c:pt>
                <c:pt idx="10">
                  <c:v>1.98</c:v>
                </c:pt>
                <c:pt idx="11">
                  <c:v>2.5379999999999998</c:v>
                </c:pt>
                <c:pt idx="12">
                  <c:v>3.1890000000000001</c:v>
                </c:pt>
                <c:pt idx="13">
                  <c:v>3.9460000000000002</c:v>
                </c:pt>
                <c:pt idx="14">
                  <c:v>4.8120000000000003</c:v>
                </c:pt>
                <c:pt idx="15">
                  <c:v>5.7939999999999996</c:v>
                </c:pt>
                <c:pt idx="16">
                  <c:v>6.9029999999999996</c:v>
                </c:pt>
                <c:pt idx="17">
                  <c:v>8.1460000000000008</c:v>
                </c:pt>
                <c:pt idx="18">
                  <c:v>9.5359999999999996</c:v>
                </c:pt>
                <c:pt idx="19">
                  <c:v>11.089</c:v>
                </c:pt>
                <c:pt idx="20">
                  <c:v>12.823</c:v>
                </c:pt>
                <c:pt idx="21">
                  <c:v>14.760999999999999</c:v>
                </c:pt>
                <c:pt idx="22">
                  <c:v>16.934000000000001</c:v>
                </c:pt>
                <c:pt idx="23">
                  <c:v>19.378</c:v>
                </c:pt>
                <c:pt idx="24">
                  <c:v>22.140999999999998</c:v>
                </c:pt>
                <c:pt idx="25">
                  <c:v>25.268999999999998</c:v>
                </c:pt>
                <c:pt idx="26">
                  <c:v>28.814</c:v>
                </c:pt>
                <c:pt idx="27">
                  <c:v>32.889000000000003</c:v>
                </c:pt>
                <c:pt idx="28">
                  <c:v>37.643999999999998</c:v>
                </c:pt>
                <c:pt idx="29">
                  <c:v>43.112000000000002</c:v>
                </c:pt>
                <c:pt idx="30">
                  <c:v>49.154000000000003</c:v>
                </c:pt>
                <c:pt idx="31">
                  <c:v>55.716999999999999</c:v>
                </c:pt>
                <c:pt idx="32">
                  <c:v>63.118000000000002</c:v>
                </c:pt>
                <c:pt idx="33">
                  <c:v>72.034000000000006</c:v>
                </c:pt>
                <c:pt idx="34">
                  <c:v>83.29</c:v>
                </c:pt>
                <c:pt idx="35">
                  <c:v>97.540999999999997</c:v>
                </c:pt>
                <c:pt idx="36">
                  <c:v>114.884</c:v>
                </c:pt>
                <c:pt idx="37">
                  <c:v>134.541</c:v>
                </c:pt>
                <c:pt idx="38">
                  <c:v>154.98699999999999</c:v>
                </c:pt>
                <c:pt idx="39">
                  <c:v>174.62299999999999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6BE-4892-8759-921F2B6A3027}"/>
            </c:ext>
          </c:extLst>
        </c:ser>
        <c:ser>
          <c:idx val="1"/>
          <c:order val="1"/>
          <c:tx>
            <c:strRef>
              <c:f>'Resistance (maxsurf)'!$H$6:$J$6</c:f>
              <c:strCache>
                <c:ptCount val="1"/>
                <c:pt idx="0">
                  <c:v>Catamaran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3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BE-4892-8759-921F2B6A30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'Resistance (maxsurf)'!$I$11:$I$50</c:f>
              <c:numCache>
                <c:formatCode>0.000</c:formatCode>
                <c:ptCount val="40"/>
                <c:pt idx="0">
                  <c:v>0</c:v>
                </c:pt>
                <c:pt idx="1">
                  <c:v>0.1</c:v>
                </c:pt>
                <c:pt idx="2">
                  <c:v>0.1</c:v>
                </c:pt>
                <c:pt idx="3">
                  <c:v>0.2</c:v>
                </c:pt>
                <c:pt idx="4">
                  <c:v>0.4</c:v>
                </c:pt>
                <c:pt idx="5">
                  <c:v>0.5</c:v>
                </c:pt>
                <c:pt idx="6">
                  <c:v>0.7</c:v>
                </c:pt>
                <c:pt idx="7">
                  <c:v>0.9</c:v>
                </c:pt>
                <c:pt idx="8">
                  <c:v>1.1000000000000001</c:v>
                </c:pt>
                <c:pt idx="9">
                  <c:v>1.3</c:v>
                </c:pt>
                <c:pt idx="10">
                  <c:v>1.6</c:v>
                </c:pt>
                <c:pt idx="11">
                  <c:v>1.9</c:v>
                </c:pt>
                <c:pt idx="12">
                  <c:v>2.2000000000000002</c:v>
                </c:pt>
                <c:pt idx="13">
                  <c:v>2.6</c:v>
                </c:pt>
                <c:pt idx="14">
                  <c:v>2.9</c:v>
                </c:pt>
                <c:pt idx="15">
                  <c:v>3.3</c:v>
                </c:pt>
                <c:pt idx="16">
                  <c:v>3.7</c:v>
                </c:pt>
                <c:pt idx="17">
                  <c:v>4.2</c:v>
                </c:pt>
                <c:pt idx="18">
                  <c:v>4.5999999999999996</c:v>
                </c:pt>
                <c:pt idx="19">
                  <c:v>5.2</c:v>
                </c:pt>
                <c:pt idx="20">
                  <c:v>5.7</c:v>
                </c:pt>
                <c:pt idx="21">
                  <c:v>6.2</c:v>
                </c:pt>
                <c:pt idx="22">
                  <c:v>6.9</c:v>
                </c:pt>
                <c:pt idx="23">
                  <c:v>7.4</c:v>
                </c:pt>
                <c:pt idx="24">
                  <c:v>8.1999999999999993</c:v>
                </c:pt>
                <c:pt idx="25">
                  <c:v>9.1</c:v>
                </c:pt>
                <c:pt idx="26">
                  <c:v>9.6</c:v>
                </c:pt>
                <c:pt idx="27">
                  <c:v>10.199999999999999</c:v>
                </c:pt>
                <c:pt idx="28">
                  <c:v>11.5</c:v>
                </c:pt>
                <c:pt idx="29">
                  <c:v>12.8</c:v>
                </c:pt>
                <c:pt idx="30">
                  <c:v>13.6</c:v>
                </c:pt>
                <c:pt idx="31">
                  <c:v>14.1</c:v>
                </c:pt>
                <c:pt idx="32">
                  <c:v>14.6</c:v>
                </c:pt>
                <c:pt idx="33">
                  <c:v>15.5</c:v>
                </c:pt>
                <c:pt idx="34">
                  <c:v>16.8</c:v>
                </c:pt>
                <c:pt idx="35">
                  <c:v>18.399999999999999</c:v>
                </c:pt>
                <c:pt idx="36">
                  <c:v>19.899999999999999</c:v>
                </c:pt>
                <c:pt idx="37">
                  <c:v>21.1</c:v>
                </c:pt>
                <c:pt idx="38">
                  <c:v>24</c:v>
                </c:pt>
                <c:pt idx="39">
                  <c:v>25.7</c:v>
                </c:pt>
              </c:numCache>
            </c:numRef>
          </c:xVal>
          <c:yVal>
            <c:numRef>
              <c:f>'Resistance (maxsurf)'!$J$11:$J$50</c:f>
              <c:numCache>
                <c:formatCode>0.000</c:formatCode>
                <c:ptCount val="40"/>
                <c:pt idx="0">
                  <c:v>3.0000000000000001E-3</c:v>
                </c:pt>
                <c:pt idx="1">
                  <c:v>2.1999999999999999E-2</c:v>
                </c:pt>
                <c:pt idx="2">
                  <c:v>7.2999999999999995E-2</c:v>
                </c:pt>
                <c:pt idx="3">
                  <c:v>0.16900000000000001</c:v>
                </c:pt>
                <c:pt idx="4">
                  <c:v>0.32400000000000001</c:v>
                </c:pt>
                <c:pt idx="5">
                  <c:v>0.55100000000000005</c:v>
                </c:pt>
                <c:pt idx="6">
                  <c:v>0.86399999999999999</c:v>
                </c:pt>
                <c:pt idx="7">
                  <c:v>1.2749999999999999</c:v>
                </c:pt>
                <c:pt idx="8">
                  <c:v>1.798</c:v>
                </c:pt>
                <c:pt idx="9">
                  <c:v>2.4460000000000002</c:v>
                </c:pt>
                <c:pt idx="10">
                  <c:v>3.23</c:v>
                </c:pt>
                <c:pt idx="11">
                  <c:v>4.1660000000000004</c:v>
                </c:pt>
                <c:pt idx="12">
                  <c:v>5.266</c:v>
                </c:pt>
                <c:pt idx="13">
                  <c:v>6.5419999999999998</c:v>
                </c:pt>
                <c:pt idx="14">
                  <c:v>8.0120000000000005</c:v>
                </c:pt>
                <c:pt idx="15">
                  <c:v>9.6679999999999993</c:v>
                </c:pt>
                <c:pt idx="16">
                  <c:v>11.566000000000001</c:v>
                </c:pt>
                <c:pt idx="17">
                  <c:v>13.693</c:v>
                </c:pt>
                <c:pt idx="18">
                  <c:v>16.042999999999999</c:v>
                </c:pt>
                <c:pt idx="19">
                  <c:v>18.745999999999999</c:v>
                </c:pt>
                <c:pt idx="20">
                  <c:v>21.861000000000001</c:v>
                </c:pt>
                <c:pt idx="21">
                  <c:v>24.806000000000001</c:v>
                </c:pt>
                <c:pt idx="22">
                  <c:v>28.817</c:v>
                </c:pt>
                <c:pt idx="23">
                  <c:v>32.244999999999997</c:v>
                </c:pt>
                <c:pt idx="24">
                  <c:v>37.048000000000002</c:v>
                </c:pt>
                <c:pt idx="25">
                  <c:v>42.911000000000001</c:v>
                </c:pt>
                <c:pt idx="26">
                  <c:v>46.927</c:v>
                </c:pt>
                <c:pt idx="27">
                  <c:v>51.972999999999999</c:v>
                </c:pt>
                <c:pt idx="28">
                  <c:v>60.456000000000003</c:v>
                </c:pt>
                <c:pt idx="29">
                  <c:v>69.78</c:v>
                </c:pt>
                <c:pt idx="30">
                  <c:v>76.808000000000007</c:v>
                </c:pt>
                <c:pt idx="31">
                  <c:v>81.769000000000005</c:v>
                </c:pt>
                <c:pt idx="32">
                  <c:v>87.305999999999997</c:v>
                </c:pt>
                <c:pt idx="33">
                  <c:v>95.65</c:v>
                </c:pt>
                <c:pt idx="34">
                  <c:v>107.119</c:v>
                </c:pt>
                <c:pt idx="35">
                  <c:v>120.423</c:v>
                </c:pt>
                <c:pt idx="36">
                  <c:v>133.76599999999999</c:v>
                </c:pt>
                <c:pt idx="37">
                  <c:v>145.81399999999999</c:v>
                </c:pt>
                <c:pt idx="38">
                  <c:v>174.12100000000001</c:v>
                </c:pt>
                <c:pt idx="39">
                  <c:v>185.09200000000001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6BE-4892-8759-921F2B6A3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8037391"/>
        <c:axId val="2078040271"/>
      </c:scatterChart>
      <c:valAx>
        <c:axId val="2078037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Hambatan (kN)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78040271"/>
        <c:crosses val="autoZero"/>
        <c:crossBetween val="midCat"/>
      </c:valAx>
      <c:valAx>
        <c:axId val="2078040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Daya (kW)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7803739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628272251308904E-2"/>
          <c:y val="3.5701489546900306E-2"/>
          <c:w val="0.90401396160558467"/>
          <c:h val="0.7081294617278498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'LOADCASE I'!$M$8:$M$9</c:f>
              <c:strCache>
                <c:ptCount val="1"/>
                <c:pt idx="0">
                  <c:v>LOADCASE I</c:v>
                </c:pt>
              </c:strCache>
            </c:strRef>
          </c:tx>
          <c:spPr>
            <a:ln w="95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'LOADCASE I'!$N$9:$AI$9</c:f>
              <c:numCache>
                <c:formatCode>General</c:formatCode>
                <c:ptCount val="22"/>
                <c:pt idx="0">
                  <c:v>-30</c:v>
                </c:pt>
                <c:pt idx="1">
                  <c:v>-20</c:v>
                </c:pt>
                <c:pt idx="2">
                  <c:v>-10</c:v>
                </c:pt>
                <c:pt idx="3">
                  <c:v>0</c:v>
                </c:pt>
                <c:pt idx="4">
                  <c:v>10</c:v>
                </c:pt>
                <c:pt idx="5">
                  <c:v>20</c:v>
                </c:pt>
                <c:pt idx="6">
                  <c:v>30</c:v>
                </c:pt>
                <c:pt idx="7">
                  <c:v>40</c:v>
                </c:pt>
                <c:pt idx="8">
                  <c:v>50</c:v>
                </c:pt>
                <c:pt idx="9">
                  <c:v>60</c:v>
                </c:pt>
                <c:pt idx="10">
                  <c:v>70</c:v>
                </c:pt>
                <c:pt idx="11">
                  <c:v>80</c:v>
                </c:pt>
                <c:pt idx="12">
                  <c:v>90</c:v>
                </c:pt>
                <c:pt idx="13">
                  <c:v>100</c:v>
                </c:pt>
                <c:pt idx="14">
                  <c:v>110</c:v>
                </c:pt>
                <c:pt idx="15">
                  <c:v>120</c:v>
                </c:pt>
                <c:pt idx="16">
                  <c:v>130</c:v>
                </c:pt>
                <c:pt idx="17">
                  <c:v>140</c:v>
                </c:pt>
                <c:pt idx="18">
                  <c:v>150</c:v>
                </c:pt>
                <c:pt idx="19">
                  <c:v>160</c:v>
                </c:pt>
                <c:pt idx="20">
                  <c:v>170</c:v>
                </c:pt>
                <c:pt idx="21">
                  <c:v>180</c:v>
                </c:pt>
              </c:numCache>
            </c:numRef>
          </c:xVal>
          <c:yVal>
            <c:numRef>
              <c:f>'LOADCASE I'!$N$10:$AI$10</c:f>
              <c:numCache>
                <c:formatCode>General</c:formatCode>
                <c:ptCount val="22"/>
                <c:pt idx="0">
                  <c:v>-2.4830000000000001</c:v>
                </c:pt>
                <c:pt idx="1">
                  <c:v>-2.02</c:v>
                </c:pt>
                <c:pt idx="2">
                  <c:v>-1.206</c:v>
                </c:pt>
                <c:pt idx="3">
                  <c:v>0</c:v>
                </c:pt>
                <c:pt idx="4">
                  <c:v>1.208</c:v>
                </c:pt>
                <c:pt idx="5">
                  <c:v>2.0209999999999999</c:v>
                </c:pt>
                <c:pt idx="6">
                  <c:v>2.4860000000000002</c:v>
                </c:pt>
                <c:pt idx="7">
                  <c:v>2.734</c:v>
                </c:pt>
                <c:pt idx="8">
                  <c:v>2.8370000000000002</c:v>
                </c:pt>
                <c:pt idx="9">
                  <c:v>2.8370000000000002</c:v>
                </c:pt>
                <c:pt idx="10">
                  <c:v>2.8159999999999998</c:v>
                </c:pt>
                <c:pt idx="11">
                  <c:v>2.99</c:v>
                </c:pt>
                <c:pt idx="12">
                  <c:v>3.9249999999999998</c:v>
                </c:pt>
                <c:pt idx="13">
                  <c:v>4.8380000000000001</c:v>
                </c:pt>
                <c:pt idx="14">
                  <c:v>4.8029999999999999</c:v>
                </c:pt>
                <c:pt idx="15">
                  <c:v>4.1959999999999997</c:v>
                </c:pt>
                <c:pt idx="16">
                  <c:v>3.35</c:v>
                </c:pt>
                <c:pt idx="17">
                  <c:v>2.3450000000000002</c:v>
                </c:pt>
                <c:pt idx="18">
                  <c:v>1.3009999999999999</c:v>
                </c:pt>
                <c:pt idx="19">
                  <c:v>0.30599999999999999</c:v>
                </c:pt>
                <c:pt idx="20">
                  <c:v>-0.38900000000000001</c:v>
                </c:pt>
                <c:pt idx="2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817-46B3-8EB1-A7C1E9E259A6}"/>
            </c:ext>
          </c:extLst>
        </c:ser>
        <c:ser>
          <c:idx val="1"/>
          <c:order val="1"/>
          <c:tx>
            <c:strRef>
              <c:f>'LOADCASE II'!$M$8:$M$9</c:f>
              <c:strCache>
                <c:ptCount val="1"/>
                <c:pt idx="0">
                  <c:v>LOADCASE II</c:v>
                </c:pt>
              </c:strCache>
            </c:strRef>
          </c:tx>
          <c:spPr>
            <a:ln w="95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'LOADCASE II'!$N$9:$AI$9</c:f>
              <c:numCache>
                <c:formatCode>General</c:formatCode>
                <c:ptCount val="22"/>
                <c:pt idx="0">
                  <c:v>-30</c:v>
                </c:pt>
                <c:pt idx="1">
                  <c:v>-20</c:v>
                </c:pt>
                <c:pt idx="2">
                  <c:v>-10</c:v>
                </c:pt>
                <c:pt idx="3">
                  <c:v>0</c:v>
                </c:pt>
                <c:pt idx="4">
                  <c:v>10</c:v>
                </c:pt>
                <c:pt idx="5">
                  <c:v>20</c:v>
                </c:pt>
                <c:pt idx="6">
                  <c:v>30</c:v>
                </c:pt>
                <c:pt idx="7">
                  <c:v>40</c:v>
                </c:pt>
                <c:pt idx="8">
                  <c:v>50</c:v>
                </c:pt>
                <c:pt idx="9">
                  <c:v>60</c:v>
                </c:pt>
                <c:pt idx="10">
                  <c:v>70</c:v>
                </c:pt>
                <c:pt idx="11">
                  <c:v>80</c:v>
                </c:pt>
                <c:pt idx="12">
                  <c:v>90</c:v>
                </c:pt>
                <c:pt idx="13">
                  <c:v>100</c:v>
                </c:pt>
                <c:pt idx="14">
                  <c:v>110</c:v>
                </c:pt>
                <c:pt idx="15">
                  <c:v>120</c:v>
                </c:pt>
                <c:pt idx="16">
                  <c:v>130</c:v>
                </c:pt>
                <c:pt idx="17">
                  <c:v>140</c:v>
                </c:pt>
                <c:pt idx="18">
                  <c:v>150</c:v>
                </c:pt>
                <c:pt idx="19">
                  <c:v>160</c:v>
                </c:pt>
                <c:pt idx="20">
                  <c:v>170</c:v>
                </c:pt>
                <c:pt idx="21">
                  <c:v>180</c:v>
                </c:pt>
              </c:numCache>
            </c:numRef>
          </c:xVal>
          <c:yVal>
            <c:numRef>
              <c:f>'LOADCASE II'!$N$10:$AI$10</c:f>
              <c:numCache>
                <c:formatCode>General</c:formatCode>
                <c:ptCount val="22"/>
                <c:pt idx="0">
                  <c:v>-1.4279999999999999</c:v>
                </c:pt>
                <c:pt idx="1">
                  <c:v>-1.167</c:v>
                </c:pt>
                <c:pt idx="2">
                  <c:v>-0.72899999999999998</c:v>
                </c:pt>
                <c:pt idx="3">
                  <c:v>0</c:v>
                </c:pt>
                <c:pt idx="4">
                  <c:v>0.72899999999999998</c:v>
                </c:pt>
                <c:pt idx="5">
                  <c:v>1.17</c:v>
                </c:pt>
                <c:pt idx="6">
                  <c:v>1.4430000000000001</c:v>
                </c:pt>
                <c:pt idx="7">
                  <c:v>1.5740000000000001</c:v>
                </c:pt>
                <c:pt idx="8">
                  <c:v>1.6259999999999999</c:v>
                </c:pt>
                <c:pt idx="9">
                  <c:v>1.653</c:v>
                </c:pt>
                <c:pt idx="10">
                  <c:v>1.7450000000000001</c:v>
                </c:pt>
                <c:pt idx="11">
                  <c:v>2.0990000000000002</c:v>
                </c:pt>
                <c:pt idx="12">
                  <c:v>2.4790000000000001</c:v>
                </c:pt>
                <c:pt idx="13">
                  <c:v>2.718</c:v>
                </c:pt>
                <c:pt idx="14">
                  <c:v>2.8069999999999999</c:v>
                </c:pt>
                <c:pt idx="15">
                  <c:v>2.569</c:v>
                </c:pt>
                <c:pt idx="16">
                  <c:v>2.097</c:v>
                </c:pt>
                <c:pt idx="17">
                  <c:v>1.5229999999999999</c:v>
                </c:pt>
                <c:pt idx="18">
                  <c:v>0.92800000000000005</c:v>
                </c:pt>
                <c:pt idx="19">
                  <c:v>0.35</c:v>
                </c:pt>
                <c:pt idx="20">
                  <c:v>0.17299999999999999</c:v>
                </c:pt>
                <c:pt idx="2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817-46B3-8EB1-A7C1E9E259A6}"/>
            </c:ext>
          </c:extLst>
        </c:ser>
        <c:ser>
          <c:idx val="2"/>
          <c:order val="2"/>
          <c:tx>
            <c:strRef>
              <c:f>'LOADCASE III'!$M$8:$M$9</c:f>
              <c:strCache>
                <c:ptCount val="1"/>
                <c:pt idx="0">
                  <c:v>LOADCASE III</c:v>
                </c:pt>
              </c:strCache>
            </c:strRef>
          </c:tx>
          <c:spPr>
            <a:ln w="95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'LOADCASE III'!$N$9:$AI$9</c:f>
              <c:numCache>
                <c:formatCode>General</c:formatCode>
                <c:ptCount val="22"/>
                <c:pt idx="0">
                  <c:v>-30</c:v>
                </c:pt>
                <c:pt idx="1">
                  <c:v>-20</c:v>
                </c:pt>
                <c:pt idx="2">
                  <c:v>-10</c:v>
                </c:pt>
                <c:pt idx="3">
                  <c:v>0</c:v>
                </c:pt>
                <c:pt idx="4">
                  <c:v>10</c:v>
                </c:pt>
                <c:pt idx="5">
                  <c:v>20</c:v>
                </c:pt>
                <c:pt idx="6">
                  <c:v>30</c:v>
                </c:pt>
                <c:pt idx="7">
                  <c:v>40</c:v>
                </c:pt>
                <c:pt idx="8">
                  <c:v>50</c:v>
                </c:pt>
                <c:pt idx="9">
                  <c:v>60</c:v>
                </c:pt>
                <c:pt idx="10">
                  <c:v>70</c:v>
                </c:pt>
                <c:pt idx="11">
                  <c:v>80</c:v>
                </c:pt>
                <c:pt idx="12">
                  <c:v>90</c:v>
                </c:pt>
                <c:pt idx="13">
                  <c:v>100</c:v>
                </c:pt>
                <c:pt idx="14">
                  <c:v>110</c:v>
                </c:pt>
                <c:pt idx="15">
                  <c:v>120</c:v>
                </c:pt>
                <c:pt idx="16">
                  <c:v>130</c:v>
                </c:pt>
                <c:pt idx="17">
                  <c:v>140</c:v>
                </c:pt>
                <c:pt idx="18">
                  <c:v>150</c:v>
                </c:pt>
                <c:pt idx="19">
                  <c:v>160</c:v>
                </c:pt>
                <c:pt idx="20">
                  <c:v>170</c:v>
                </c:pt>
                <c:pt idx="21">
                  <c:v>180</c:v>
                </c:pt>
              </c:numCache>
            </c:numRef>
          </c:xVal>
          <c:yVal>
            <c:numRef>
              <c:f>'LOADCASE III'!$N$10:$AI$10</c:f>
              <c:numCache>
                <c:formatCode>General</c:formatCode>
                <c:ptCount val="22"/>
                <c:pt idx="0">
                  <c:v>-1.88</c:v>
                </c:pt>
                <c:pt idx="1">
                  <c:v>-1.484</c:v>
                </c:pt>
                <c:pt idx="2">
                  <c:v>-0.89500000000000002</c:v>
                </c:pt>
                <c:pt idx="3">
                  <c:v>0</c:v>
                </c:pt>
                <c:pt idx="4">
                  <c:v>0.89500000000000002</c:v>
                </c:pt>
                <c:pt idx="5">
                  <c:v>1.486</c:v>
                </c:pt>
                <c:pt idx="6">
                  <c:v>1.8939999999999999</c:v>
                </c:pt>
                <c:pt idx="7">
                  <c:v>2.1459999999999999</c:v>
                </c:pt>
                <c:pt idx="8">
                  <c:v>2.2949999999999999</c:v>
                </c:pt>
                <c:pt idx="9">
                  <c:v>2.3980000000000001</c:v>
                </c:pt>
                <c:pt idx="10">
                  <c:v>2.5430000000000001</c:v>
                </c:pt>
                <c:pt idx="11">
                  <c:v>2.9329999999999998</c:v>
                </c:pt>
                <c:pt idx="12">
                  <c:v>3.3479999999999999</c:v>
                </c:pt>
                <c:pt idx="13">
                  <c:v>3.601</c:v>
                </c:pt>
                <c:pt idx="14">
                  <c:v>3.6640000000000001</c:v>
                </c:pt>
                <c:pt idx="15">
                  <c:v>3.3439999999999999</c:v>
                </c:pt>
                <c:pt idx="16">
                  <c:v>2.7719999999999998</c:v>
                </c:pt>
                <c:pt idx="17">
                  <c:v>2.077</c:v>
                </c:pt>
                <c:pt idx="18">
                  <c:v>1.3420000000000001</c:v>
                </c:pt>
                <c:pt idx="19">
                  <c:v>0.61299999999999999</c:v>
                </c:pt>
                <c:pt idx="20">
                  <c:v>0.29099999999999998</c:v>
                </c:pt>
                <c:pt idx="2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E817-46B3-8EB1-A7C1E9E259A6}"/>
            </c:ext>
          </c:extLst>
        </c:ser>
        <c:ser>
          <c:idx val="3"/>
          <c:order val="3"/>
          <c:tx>
            <c:strRef>
              <c:f>'LOADCASE IV'!$M$8:$M$9</c:f>
              <c:strCache>
                <c:ptCount val="1"/>
                <c:pt idx="0">
                  <c:v>LOADCASE IV</c:v>
                </c:pt>
              </c:strCache>
            </c:strRef>
          </c:tx>
          <c:spPr>
            <a:ln w="9525" cap="rnd">
              <a:solidFill>
                <a:schemeClr val="accent4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'LOADCASE IV'!$N$9:$AI$9</c:f>
              <c:numCache>
                <c:formatCode>General</c:formatCode>
                <c:ptCount val="22"/>
                <c:pt idx="0">
                  <c:v>-30</c:v>
                </c:pt>
                <c:pt idx="1">
                  <c:v>-20</c:v>
                </c:pt>
                <c:pt idx="2">
                  <c:v>-10</c:v>
                </c:pt>
                <c:pt idx="3">
                  <c:v>0</c:v>
                </c:pt>
                <c:pt idx="4">
                  <c:v>10</c:v>
                </c:pt>
                <c:pt idx="5">
                  <c:v>20</c:v>
                </c:pt>
                <c:pt idx="6">
                  <c:v>30</c:v>
                </c:pt>
                <c:pt idx="7">
                  <c:v>40</c:v>
                </c:pt>
                <c:pt idx="8">
                  <c:v>50</c:v>
                </c:pt>
                <c:pt idx="9">
                  <c:v>60</c:v>
                </c:pt>
                <c:pt idx="10">
                  <c:v>70</c:v>
                </c:pt>
                <c:pt idx="11">
                  <c:v>80</c:v>
                </c:pt>
                <c:pt idx="12">
                  <c:v>90</c:v>
                </c:pt>
                <c:pt idx="13">
                  <c:v>100</c:v>
                </c:pt>
                <c:pt idx="14">
                  <c:v>110</c:v>
                </c:pt>
                <c:pt idx="15">
                  <c:v>120</c:v>
                </c:pt>
                <c:pt idx="16">
                  <c:v>130</c:v>
                </c:pt>
                <c:pt idx="17">
                  <c:v>140</c:v>
                </c:pt>
                <c:pt idx="18">
                  <c:v>150</c:v>
                </c:pt>
                <c:pt idx="19">
                  <c:v>160</c:v>
                </c:pt>
                <c:pt idx="20">
                  <c:v>170</c:v>
                </c:pt>
                <c:pt idx="21">
                  <c:v>180</c:v>
                </c:pt>
              </c:numCache>
            </c:numRef>
          </c:xVal>
          <c:yVal>
            <c:numRef>
              <c:f>'LOADCASE IV'!$N$10:$AI$10</c:f>
              <c:numCache>
                <c:formatCode>General</c:formatCode>
                <c:ptCount val="22"/>
                <c:pt idx="0">
                  <c:v>-1.2769999999999999</c:v>
                </c:pt>
                <c:pt idx="1">
                  <c:v>-1.073</c:v>
                </c:pt>
                <c:pt idx="2">
                  <c:v>-0.64800000000000002</c:v>
                </c:pt>
                <c:pt idx="3">
                  <c:v>6.0000000000000001E-3</c:v>
                </c:pt>
                <c:pt idx="4">
                  <c:v>0.69599999999999995</c:v>
                </c:pt>
                <c:pt idx="5">
                  <c:v>1.1359999999999999</c:v>
                </c:pt>
                <c:pt idx="6">
                  <c:v>1.335</c:v>
                </c:pt>
                <c:pt idx="7">
                  <c:v>1.4219999999999999</c:v>
                </c:pt>
                <c:pt idx="8">
                  <c:v>1.4610000000000001</c:v>
                </c:pt>
                <c:pt idx="9">
                  <c:v>1.4630000000000001</c:v>
                </c:pt>
                <c:pt idx="10">
                  <c:v>1.4970000000000001</c:v>
                </c:pt>
                <c:pt idx="11">
                  <c:v>1.6160000000000001</c:v>
                </c:pt>
                <c:pt idx="12">
                  <c:v>1.639</c:v>
                </c:pt>
                <c:pt idx="13">
                  <c:v>1.4510000000000001</c:v>
                </c:pt>
                <c:pt idx="14">
                  <c:v>1.0820000000000001</c:v>
                </c:pt>
                <c:pt idx="15">
                  <c:v>0.65700000000000003</c:v>
                </c:pt>
                <c:pt idx="16">
                  <c:v>0.307</c:v>
                </c:pt>
                <c:pt idx="17">
                  <c:v>5.8000000000000003E-2</c:v>
                </c:pt>
                <c:pt idx="18">
                  <c:v>-6.5000000000000002E-2</c:v>
                </c:pt>
                <c:pt idx="19">
                  <c:v>-6.2E-2</c:v>
                </c:pt>
                <c:pt idx="20">
                  <c:v>-6.2E-2</c:v>
                </c:pt>
                <c:pt idx="21">
                  <c:v>-6.4000000000000001E-2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E817-46B3-8EB1-A7C1E9E259A6}"/>
            </c:ext>
          </c:extLst>
        </c:ser>
        <c:ser>
          <c:idx val="4"/>
          <c:order val="4"/>
          <c:tx>
            <c:strRef>
              <c:f>'LOADCASE V'!$M$8:$M$9</c:f>
              <c:strCache>
                <c:ptCount val="1"/>
                <c:pt idx="0">
                  <c:v>LOADCASE V</c:v>
                </c:pt>
              </c:strCache>
            </c:strRef>
          </c:tx>
          <c:spPr>
            <a:ln w="9525" cap="rnd">
              <a:solidFill>
                <a:schemeClr val="accent5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'LOADCASE V'!$N$9:$AI$9</c:f>
              <c:numCache>
                <c:formatCode>General</c:formatCode>
                <c:ptCount val="22"/>
                <c:pt idx="0">
                  <c:v>-30</c:v>
                </c:pt>
                <c:pt idx="1">
                  <c:v>-20</c:v>
                </c:pt>
                <c:pt idx="2">
                  <c:v>-10</c:v>
                </c:pt>
                <c:pt idx="3">
                  <c:v>0</c:v>
                </c:pt>
                <c:pt idx="4">
                  <c:v>10</c:v>
                </c:pt>
                <c:pt idx="5">
                  <c:v>20</c:v>
                </c:pt>
                <c:pt idx="6">
                  <c:v>30</c:v>
                </c:pt>
                <c:pt idx="7">
                  <c:v>40</c:v>
                </c:pt>
                <c:pt idx="8">
                  <c:v>50</c:v>
                </c:pt>
                <c:pt idx="9">
                  <c:v>60</c:v>
                </c:pt>
                <c:pt idx="10">
                  <c:v>70</c:v>
                </c:pt>
                <c:pt idx="11">
                  <c:v>80</c:v>
                </c:pt>
                <c:pt idx="12">
                  <c:v>90</c:v>
                </c:pt>
                <c:pt idx="13">
                  <c:v>100</c:v>
                </c:pt>
                <c:pt idx="14">
                  <c:v>110</c:v>
                </c:pt>
                <c:pt idx="15">
                  <c:v>120</c:v>
                </c:pt>
                <c:pt idx="16">
                  <c:v>130</c:v>
                </c:pt>
                <c:pt idx="17">
                  <c:v>140</c:v>
                </c:pt>
                <c:pt idx="18">
                  <c:v>150</c:v>
                </c:pt>
                <c:pt idx="19">
                  <c:v>160</c:v>
                </c:pt>
                <c:pt idx="20">
                  <c:v>170</c:v>
                </c:pt>
                <c:pt idx="21">
                  <c:v>180</c:v>
                </c:pt>
              </c:numCache>
            </c:numRef>
          </c:xVal>
          <c:yVal>
            <c:numRef>
              <c:f>'LOADCASE V'!$N$10:$AI$10</c:f>
              <c:numCache>
                <c:formatCode>General</c:formatCode>
                <c:ptCount val="22"/>
                <c:pt idx="0">
                  <c:v>-1.244</c:v>
                </c:pt>
                <c:pt idx="1">
                  <c:v>-1.0569999999999999</c:v>
                </c:pt>
                <c:pt idx="2">
                  <c:v>-0.64400000000000002</c:v>
                </c:pt>
                <c:pt idx="3">
                  <c:v>3.0000000000000001E-3</c:v>
                </c:pt>
                <c:pt idx="4">
                  <c:v>0.68600000000000005</c:v>
                </c:pt>
                <c:pt idx="5">
                  <c:v>1.117</c:v>
                </c:pt>
                <c:pt idx="6">
                  <c:v>1.3</c:v>
                </c:pt>
                <c:pt idx="7">
                  <c:v>1.3680000000000001</c:v>
                </c:pt>
                <c:pt idx="8">
                  <c:v>1.387</c:v>
                </c:pt>
                <c:pt idx="9">
                  <c:v>1.3779999999999999</c:v>
                </c:pt>
                <c:pt idx="10">
                  <c:v>1.399</c:v>
                </c:pt>
                <c:pt idx="11">
                  <c:v>1.5289999999999999</c:v>
                </c:pt>
                <c:pt idx="12">
                  <c:v>1.5720000000000001</c:v>
                </c:pt>
                <c:pt idx="13">
                  <c:v>1.4179999999999999</c:v>
                </c:pt>
                <c:pt idx="14">
                  <c:v>1.0840000000000001</c:v>
                </c:pt>
                <c:pt idx="15">
                  <c:v>0.64500000000000002</c:v>
                </c:pt>
                <c:pt idx="16">
                  <c:v>0.28000000000000003</c:v>
                </c:pt>
                <c:pt idx="17">
                  <c:v>0.01</c:v>
                </c:pt>
                <c:pt idx="18">
                  <c:v>-0.127</c:v>
                </c:pt>
                <c:pt idx="19">
                  <c:v>-0.109</c:v>
                </c:pt>
                <c:pt idx="20">
                  <c:v>-9.2999999999999999E-2</c:v>
                </c:pt>
                <c:pt idx="21">
                  <c:v>-6.5000000000000002E-2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E817-46B3-8EB1-A7C1E9E25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6595616"/>
        <c:axId val="636598976"/>
      </c:scatterChart>
      <c:valAx>
        <c:axId val="636595616"/>
        <c:scaling>
          <c:orientation val="minMax"/>
          <c:max val="180"/>
          <c:min val="-3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HEEL TO STARBOARD (Deg)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36598976"/>
        <c:crosses val="autoZero"/>
        <c:crossBetween val="midCat"/>
        <c:majorUnit val="10"/>
      </c:valAx>
      <c:valAx>
        <c:axId val="63659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GZ Length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365956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093368237347287E-2"/>
          <c:y val="0.79131776574609469"/>
          <c:w val="0.89908376963350789"/>
          <c:h val="0.105934846024515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628272251308904E-2"/>
          <c:y val="3.5701489546900306E-2"/>
          <c:w val="0.90401396160558467"/>
          <c:h val="0.7081294617278498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'LOADCASE I'!$M$8:$M$9</c:f>
              <c:strCache>
                <c:ptCount val="1"/>
                <c:pt idx="0">
                  <c:v>LOADCASE I</c:v>
                </c:pt>
              </c:strCache>
            </c:strRef>
          </c:tx>
          <c:spPr>
            <a:ln w="95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'LOADCASE I'!$N$9:$AI$9</c:f>
              <c:numCache>
                <c:formatCode>General</c:formatCode>
                <c:ptCount val="22"/>
                <c:pt idx="0">
                  <c:v>-30</c:v>
                </c:pt>
                <c:pt idx="1">
                  <c:v>-20</c:v>
                </c:pt>
                <c:pt idx="2">
                  <c:v>-10</c:v>
                </c:pt>
                <c:pt idx="3">
                  <c:v>0</c:v>
                </c:pt>
                <c:pt idx="4">
                  <c:v>10</c:v>
                </c:pt>
                <c:pt idx="5">
                  <c:v>20</c:v>
                </c:pt>
                <c:pt idx="6">
                  <c:v>30</c:v>
                </c:pt>
                <c:pt idx="7">
                  <c:v>40</c:v>
                </c:pt>
                <c:pt idx="8">
                  <c:v>50</c:v>
                </c:pt>
                <c:pt idx="9">
                  <c:v>60</c:v>
                </c:pt>
                <c:pt idx="10">
                  <c:v>70</c:v>
                </c:pt>
                <c:pt idx="11">
                  <c:v>80</c:v>
                </c:pt>
                <c:pt idx="12">
                  <c:v>90</c:v>
                </c:pt>
                <c:pt idx="13">
                  <c:v>100</c:v>
                </c:pt>
                <c:pt idx="14">
                  <c:v>110</c:v>
                </c:pt>
                <c:pt idx="15">
                  <c:v>120</c:v>
                </c:pt>
                <c:pt idx="16">
                  <c:v>130</c:v>
                </c:pt>
                <c:pt idx="17">
                  <c:v>140</c:v>
                </c:pt>
                <c:pt idx="18">
                  <c:v>150</c:v>
                </c:pt>
                <c:pt idx="19">
                  <c:v>160</c:v>
                </c:pt>
                <c:pt idx="20">
                  <c:v>170</c:v>
                </c:pt>
                <c:pt idx="21">
                  <c:v>180</c:v>
                </c:pt>
              </c:numCache>
            </c:numRef>
          </c:xVal>
          <c:yVal>
            <c:numRef>
              <c:f>'LOADCASE I'!$N$11:$AI$11</c:f>
              <c:numCache>
                <c:formatCode>General</c:formatCode>
                <c:ptCount val="22"/>
                <c:pt idx="0">
                  <c:v>45.411999999999999</c:v>
                </c:pt>
                <c:pt idx="1">
                  <c:v>22.728200000000001</c:v>
                </c:pt>
                <c:pt idx="2">
                  <c:v>6.2324999999999999</c:v>
                </c:pt>
                <c:pt idx="3">
                  <c:v>0</c:v>
                </c:pt>
                <c:pt idx="4">
                  <c:v>6.2464000000000004</c:v>
                </c:pt>
                <c:pt idx="5">
                  <c:v>22.744700000000002</c:v>
                </c:pt>
                <c:pt idx="6">
                  <c:v>45.505200000000002</c:v>
                </c:pt>
                <c:pt idx="7">
                  <c:v>71.742400000000004</c:v>
                </c:pt>
                <c:pt idx="8">
                  <c:v>99.702299999999994</c:v>
                </c:pt>
                <c:pt idx="9">
                  <c:v>128.12299999999999</c:v>
                </c:pt>
                <c:pt idx="10">
                  <c:v>156.38200000000001</c:v>
                </c:pt>
                <c:pt idx="11">
                  <c:v>184.93729999999999</c:v>
                </c:pt>
                <c:pt idx="12">
                  <c:v>219.03919999999999</c:v>
                </c:pt>
                <c:pt idx="13">
                  <c:v>263.38959999999997</c:v>
                </c:pt>
                <c:pt idx="14">
                  <c:v>312.33300000000003</c:v>
                </c:pt>
                <c:pt idx="15">
                  <c:v>357.6062</c:v>
                </c:pt>
                <c:pt idx="16">
                  <c:v>395.488</c:v>
                </c:pt>
                <c:pt idx="17">
                  <c:v>424.05169999999998</c:v>
                </c:pt>
                <c:pt idx="18">
                  <c:v>442.26769999999999</c:v>
                </c:pt>
                <c:pt idx="19">
                  <c:v>450.26369999999997</c:v>
                </c:pt>
                <c:pt idx="20">
                  <c:v>449.17009999999999</c:v>
                </c:pt>
                <c:pt idx="21">
                  <c:v>446.55500000000001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817-46B3-8EB1-A7C1E9E259A6}"/>
            </c:ext>
          </c:extLst>
        </c:ser>
        <c:ser>
          <c:idx val="1"/>
          <c:order val="1"/>
          <c:tx>
            <c:strRef>
              <c:f>'LOADCASE II'!$M$8:$M$9</c:f>
              <c:strCache>
                <c:ptCount val="1"/>
                <c:pt idx="0">
                  <c:v>LOADCASE II</c:v>
                </c:pt>
              </c:strCache>
            </c:strRef>
          </c:tx>
          <c:spPr>
            <a:ln w="95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'LOADCASE II'!$N$9:$AI$9</c:f>
              <c:numCache>
                <c:formatCode>General</c:formatCode>
                <c:ptCount val="22"/>
                <c:pt idx="0">
                  <c:v>-30</c:v>
                </c:pt>
                <c:pt idx="1">
                  <c:v>-20</c:v>
                </c:pt>
                <c:pt idx="2">
                  <c:v>-10</c:v>
                </c:pt>
                <c:pt idx="3">
                  <c:v>0</c:v>
                </c:pt>
                <c:pt idx="4">
                  <c:v>10</c:v>
                </c:pt>
                <c:pt idx="5">
                  <c:v>20</c:v>
                </c:pt>
                <c:pt idx="6">
                  <c:v>30</c:v>
                </c:pt>
                <c:pt idx="7">
                  <c:v>40</c:v>
                </c:pt>
                <c:pt idx="8">
                  <c:v>50</c:v>
                </c:pt>
                <c:pt idx="9">
                  <c:v>60</c:v>
                </c:pt>
                <c:pt idx="10">
                  <c:v>70</c:v>
                </c:pt>
                <c:pt idx="11">
                  <c:v>80</c:v>
                </c:pt>
                <c:pt idx="12">
                  <c:v>90</c:v>
                </c:pt>
                <c:pt idx="13">
                  <c:v>100</c:v>
                </c:pt>
                <c:pt idx="14">
                  <c:v>110</c:v>
                </c:pt>
                <c:pt idx="15">
                  <c:v>120</c:v>
                </c:pt>
                <c:pt idx="16">
                  <c:v>130</c:v>
                </c:pt>
                <c:pt idx="17">
                  <c:v>140</c:v>
                </c:pt>
                <c:pt idx="18">
                  <c:v>150</c:v>
                </c:pt>
                <c:pt idx="19">
                  <c:v>160</c:v>
                </c:pt>
                <c:pt idx="20">
                  <c:v>170</c:v>
                </c:pt>
                <c:pt idx="21">
                  <c:v>180</c:v>
                </c:pt>
              </c:numCache>
            </c:numRef>
          </c:xVal>
          <c:yVal>
            <c:numRef>
              <c:f>'LOADCASE II'!$N$11:$AI$11</c:f>
              <c:numCache>
                <c:formatCode>General</c:formatCode>
                <c:ptCount val="22"/>
                <c:pt idx="0">
                  <c:v>26.563800000000001</c:v>
                </c:pt>
                <c:pt idx="1">
                  <c:v>13.5235</c:v>
                </c:pt>
                <c:pt idx="2">
                  <c:v>3.8109999999999999</c:v>
                </c:pt>
                <c:pt idx="3">
                  <c:v>0</c:v>
                </c:pt>
                <c:pt idx="4">
                  <c:v>3.8130000000000002</c:v>
                </c:pt>
                <c:pt idx="5">
                  <c:v>13.518800000000001</c:v>
                </c:pt>
                <c:pt idx="6">
                  <c:v>26.694600000000001</c:v>
                </c:pt>
                <c:pt idx="7">
                  <c:v>41.879899999999999</c:v>
                </c:pt>
                <c:pt idx="8">
                  <c:v>57.916600000000003</c:v>
                </c:pt>
                <c:pt idx="9">
                  <c:v>74.313800000000001</c:v>
                </c:pt>
                <c:pt idx="10">
                  <c:v>91.134399999999999</c:v>
                </c:pt>
                <c:pt idx="11">
                  <c:v>110.1968</c:v>
                </c:pt>
                <c:pt idx="12">
                  <c:v>133.17179999999999</c:v>
                </c:pt>
                <c:pt idx="13">
                  <c:v>159.26410000000001</c:v>
                </c:pt>
                <c:pt idx="14">
                  <c:v>187.09299999999999</c:v>
                </c:pt>
                <c:pt idx="15">
                  <c:v>214.23929999999999</c:v>
                </c:pt>
                <c:pt idx="16">
                  <c:v>237.70429999999999</c:v>
                </c:pt>
                <c:pt idx="17">
                  <c:v>255.83529999999999</c:v>
                </c:pt>
                <c:pt idx="18">
                  <c:v>268.1413</c:v>
                </c:pt>
                <c:pt idx="19">
                  <c:v>274.31119999999999</c:v>
                </c:pt>
                <c:pt idx="20">
                  <c:v>276.71159999999998</c:v>
                </c:pt>
                <c:pt idx="21">
                  <c:v>277.64359999999999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817-46B3-8EB1-A7C1E9E259A6}"/>
            </c:ext>
          </c:extLst>
        </c:ser>
        <c:ser>
          <c:idx val="2"/>
          <c:order val="2"/>
          <c:tx>
            <c:strRef>
              <c:f>'LOADCASE III'!$M$8:$M$9</c:f>
              <c:strCache>
                <c:ptCount val="1"/>
                <c:pt idx="0">
                  <c:v>LOADCASE III</c:v>
                </c:pt>
              </c:strCache>
            </c:strRef>
          </c:tx>
          <c:spPr>
            <a:ln w="95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'LOADCASE III'!$N$9:$AI$9</c:f>
              <c:numCache>
                <c:formatCode>General</c:formatCode>
                <c:ptCount val="22"/>
                <c:pt idx="0">
                  <c:v>-30</c:v>
                </c:pt>
                <c:pt idx="1">
                  <c:v>-20</c:v>
                </c:pt>
                <c:pt idx="2">
                  <c:v>-10</c:v>
                </c:pt>
                <c:pt idx="3">
                  <c:v>0</c:v>
                </c:pt>
                <c:pt idx="4">
                  <c:v>10</c:v>
                </c:pt>
                <c:pt idx="5">
                  <c:v>20</c:v>
                </c:pt>
                <c:pt idx="6">
                  <c:v>30</c:v>
                </c:pt>
                <c:pt idx="7">
                  <c:v>40</c:v>
                </c:pt>
                <c:pt idx="8">
                  <c:v>50</c:v>
                </c:pt>
                <c:pt idx="9">
                  <c:v>60</c:v>
                </c:pt>
                <c:pt idx="10">
                  <c:v>70</c:v>
                </c:pt>
                <c:pt idx="11">
                  <c:v>80</c:v>
                </c:pt>
                <c:pt idx="12">
                  <c:v>90</c:v>
                </c:pt>
                <c:pt idx="13">
                  <c:v>100</c:v>
                </c:pt>
                <c:pt idx="14">
                  <c:v>110</c:v>
                </c:pt>
                <c:pt idx="15">
                  <c:v>120</c:v>
                </c:pt>
                <c:pt idx="16">
                  <c:v>130</c:v>
                </c:pt>
                <c:pt idx="17">
                  <c:v>140</c:v>
                </c:pt>
                <c:pt idx="18">
                  <c:v>150</c:v>
                </c:pt>
                <c:pt idx="19">
                  <c:v>160</c:v>
                </c:pt>
                <c:pt idx="20">
                  <c:v>170</c:v>
                </c:pt>
                <c:pt idx="21">
                  <c:v>180</c:v>
                </c:pt>
              </c:numCache>
            </c:numRef>
          </c:xVal>
          <c:yVal>
            <c:numRef>
              <c:f>'LOADCASE III'!$N$11:$AI$11</c:f>
              <c:numCache>
                <c:formatCode>General</c:formatCode>
                <c:ptCount val="22"/>
                <c:pt idx="0">
                  <c:v>33.683900000000001</c:v>
                </c:pt>
                <c:pt idx="1">
                  <c:v>16.789400000000001</c:v>
                </c:pt>
                <c:pt idx="2">
                  <c:v>4.6479999999999997</c:v>
                </c:pt>
                <c:pt idx="3">
                  <c:v>0</c:v>
                </c:pt>
                <c:pt idx="4">
                  <c:v>4.6506999999999996</c:v>
                </c:pt>
                <c:pt idx="5">
                  <c:v>16.781500000000001</c:v>
                </c:pt>
                <c:pt idx="6">
                  <c:v>33.807400000000001</c:v>
                </c:pt>
                <c:pt idx="7">
                  <c:v>54.125700000000002</c:v>
                </c:pt>
                <c:pt idx="8">
                  <c:v>76.390699999999995</c:v>
                </c:pt>
                <c:pt idx="9">
                  <c:v>99.884600000000006</c:v>
                </c:pt>
                <c:pt idx="10">
                  <c:v>124.4421</c:v>
                </c:pt>
                <c:pt idx="11">
                  <c:v>151.66650000000001</c:v>
                </c:pt>
                <c:pt idx="12">
                  <c:v>183.1634</c:v>
                </c:pt>
                <c:pt idx="13">
                  <c:v>218.04660000000001</c:v>
                </c:pt>
                <c:pt idx="14">
                  <c:v>254.62039999999999</c:v>
                </c:pt>
                <c:pt idx="15">
                  <c:v>289.95510000000002</c:v>
                </c:pt>
                <c:pt idx="16">
                  <c:v>320.68220000000002</c:v>
                </c:pt>
                <c:pt idx="17">
                  <c:v>344.97649999999999</c:v>
                </c:pt>
                <c:pt idx="18">
                  <c:v>362.13690000000003</c:v>
                </c:pt>
                <c:pt idx="19">
                  <c:v>371.70179999999999</c:v>
                </c:pt>
                <c:pt idx="20">
                  <c:v>375.99090000000001</c:v>
                </c:pt>
                <c:pt idx="21">
                  <c:v>377.49439999999998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E817-46B3-8EB1-A7C1E9E259A6}"/>
            </c:ext>
          </c:extLst>
        </c:ser>
        <c:ser>
          <c:idx val="3"/>
          <c:order val="3"/>
          <c:tx>
            <c:strRef>
              <c:f>'LOADCASE IV'!$M$8:$M$9</c:f>
              <c:strCache>
                <c:ptCount val="1"/>
                <c:pt idx="0">
                  <c:v>LOADCASE IV</c:v>
                </c:pt>
              </c:strCache>
            </c:strRef>
          </c:tx>
          <c:spPr>
            <a:ln w="9525" cap="rnd">
              <a:solidFill>
                <a:schemeClr val="accent4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'LOADCASE IV'!$N$9:$AI$9</c:f>
              <c:numCache>
                <c:formatCode>General</c:formatCode>
                <c:ptCount val="22"/>
                <c:pt idx="0">
                  <c:v>-30</c:v>
                </c:pt>
                <c:pt idx="1">
                  <c:v>-20</c:v>
                </c:pt>
                <c:pt idx="2">
                  <c:v>-10</c:v>
                </c:pt>
                <c:pt idx="3">
                  <c:v>0</c:v>
                </c:pt>
                <c:pt idx="4">
                  <c:v>10</c:v>
                </c:pt>
                <c:pt idx="5">
                  <c:v>20</c:v>
                </c:pt>
                <c:pt idx="6">
                  <c:v>30</c:v>
                </c:pt>
                <c:pt idx="7">
                  <c:v>40</c:v>
                </c:pt>
                <c:pt idx="8">
                  <c:v>50</c:v>
                </c:pt>
                <c:pt idx="9">
                  <c:v>60</c:v>
                </c:pt>
                <c:pt idx="10">
                  <c:v>70</c:v>
                </c:pt>
                <c:pt idx="11">
                  <c:v>80</c:v>
                </c:pt>
                <c:pt idx="12">
                  <c:v>90</c:v>
                </c:pt>
                <c:pt idx="13">
                  <c:v>100</c:v>
                </c:pt>
                <c:pt idx="14">
                  <c:v>110</c:v>
                </c:pt>
                <c:pt idx="15">
                  <c:v>120</c:v>
                </c:pt>
                <c:pt idx="16">
                  <c:v>130</c:v>
                </c:pt>
                <c:pt idx="17">
                  <c:v>140</c:v>
                </c:pt>
                <c:pt idx="18">
                  <c:v>150</c:v>
                </c:pt>
                <c:pt idx="19">
                  <c:v>160</c:v>
                </c:pt>
                <c:pt idx="20">
                  <c:v>170</c:v>
                </c:pt>
                <c:pt idx="21">
                  <c:v>180</c:v>
                </c:pt>
              </c:numCache>
            </c:numRef>
          </c:xVal>
          <c:yVal>
            <c:numRef>
              <c:f>'LOADCASE IV'!$N$11:$AI$11</c:f>
              <c:numCache>
                <c:formatCode>General</c:formatCode>
                <c:ptCount val="22"/>
                <c:pt idx="0">
                  <c:v>24.034199999999998</c:v>
                </c:pt>
                <c:pt idx="1">
                  <c:v>12.171099999999999</c:v>
                </c:pt>
                <c:pt idx="2">
                  <c:v>3.3460999999999999</c:v>
                </c:pt>
                <c:pt idx="3">
                  <c:v>1.12E-2</c:v>
                </c:pt>
                <c:pt idx="4">
                  <c:v>3.6145</c:v>
                </c:pt>
                <c:pt idx="5">
                  <c:v>13.0159</c:v>
                </c:pt>
                <c:pt idx="6">
                  <c:v>25.520099999999999</c:v>
                </c:pt>
                <c:pt idx="7">
                  <c:v>39.363100000000003</c:v>
                </c:pt>
                <c:pt idx="8">
                  <c:v>53.816299999999998</c:v>
                </c:pt>
                <c:pt idx="9">
                  <c:v>68.447699999999998</c:v>
                </c:pt>
                <c:pt idx="10">
                  <c:v>83.171199999999999</c:v>
                </c:pt>
                <c:pt idx="11">
                  <c:v>98.723699999999994</c:v>
                </c:pt>
                <c:pt idx="12">
                  <c:v>115.1464</c:v>
                </c:pt>
                <c:pt idx="13">
                  <c:v>130.7757</c:v>
                </c:pt>
                <c:pt idx="14">
                  <c:v>143.54759999999999</c:v>
                </c:pt>
                <c:pt idx="15">
                  <c:v>152.22190000000001</c:v>
                </c:pt>
                <c:pt idx="16">
                  <c:v>156.9599</c:v>
                </c:pt>
                <c:pt idx="17">
                  <c:v>158.6927</c:v>
                </c:pt>
                <c:pt idx="18">
                  <c:v>158.5343</c:v>
                </c:pt>
                <c:pt idx="19">
                  <c:v>157.84700000000001</c:v>
                </c:pt>
                <c:pt idx="20">
                  <c:v>157.2396</c:v>
                </c:pt>
                <c:pt idx="21">
                  <c:v>156.60300000000001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E817-46B3-8EB1-A7C1E9E259A6}"/>
            </c:ext>
          </c:extLst>
        </c:ser>
        <c:ser>
          <c:idx val="4"/>
          <c:order val="4"/>
          <c:tx>
            <c:strRef>
              <c:f>'LOADCASE V'!$M$8:$M$9</c:f>
              <c:strCache>
                <c:ptCount val="1"/>
                <c:pt idx="0">
                  <c:v>LOADCASE V</c:v>
                </c:pt>
              </c:strCache>
            </c:strRef>
          </c:tx>
          <c:spPr>
            <a:ln w="9525" cap="rnd">
              <a:solidFill>
                <a:schemeClr val="accent5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'LOADCASE V'!$N$9:$AI$9</c:f>
              <c:numCache>
                <c:formatCode>General</c:formatCode>
                <c:ptCount val="22"/>
                <c:pt idx="0">
                  <c:v>-30</c:v>
                </c:pt>
                <c:pt idx="1">
                  <c:v>-20</c:v>
                </c:pt>
                <c:pt idx="2">
                  <c:v>-10</c:v>
                </c:pt>
                <c:pt idx="3">
                  <c:v>0</c:v>
                </c:pt>
                <c:pt idx="4">
                  <c:v>10</c:v>
                </c:pt>
                <c:pt idx="5">
                  <c:v>20</c:v>
                </c:pt>
                <c:pt idx="6">
                  <c:v>30</c:v>
                </c:pt>
                <c:pt idx="7">
                  <c:v>40</c:v>
                </c:pt>
                <c:pt idx="8">
                  <c:v>50</c:v>
                </c:pt>
                <c:pt idx="9">
                  <c:v>60</c:v>
                </c:pt>
                <c:pt idx="10">
                  <c:v>70</c:v>
                </c:pt>
                <c:pt idx="11">
                  <c:v>80</c:v>
                </c:pt>
                <c:pt idx="12">
                  <c:v>90</c:v>
                </c:pt>
                <c:pt idx="13">
                  <c:v>100</c:v>
                </c:pt>
                <c:pt idx="14">
                  <c:v>110</c:v>
                </c:pt>
                <c:pt idx="15">
                  <c:v>120</c:v>
                </c:pt>
                <c:pt idx="16">
                  <c:v>130</c:v>
                </c:pt>
                <c:pt idx="17">
                  <c:v>140</c:v>
                </c:pt>
                <c:pt idx="18">
                  <c:v>150</c:v>
                </c:pt>
                <c:pt idx="19">
                  <c:v>160</c:v>
                </c:pt>
                <c:pt idx="20">
                  <c:v>170</c:v>
                </c:pt>
                <c:pt idx="21">
                  <c:v>180</c:v>
                </c:pt>
              </c:numCache>
            </c:numRef>
          </c:xVal>
          <c:yVal>
            <c:numRef>
              <c:f>'LOADCASE V'!$N$11:$AI$11</c:f>
              <c:numCache>
                <c:formatCode>General</c:formatCode>
                <c:ptCount val="22"/>
                <c:pt idx="0">
                  <c:v>23.686499999999999</c:v>
                </c:pt>
                <c:pt idx="1">
                  <c:v>12.0693</c:v>
                </c:pt>
                <c:pt idx="2">
                  <c:v>3.3422999999999998</c:v>
                </c:pt>
                <c:pt idx="3">
                  <c:v>5.4999999999999997E-3</c:v>
                </c:pt>
                <c:pt idx="4">
                  <c:v>3.5503</c:v>
                </c:pt>
                <c:pt idx="5">
                  <c:v>12.8095</c:v>
                </c:pt>
                <c:pt idx="6">
                  <c:v>25.042899999999999</c:v>
                </c:pt>
                <c:pt idx="7">
                  <c:v>38.439399999999999</c:v>
                </c:pt>
                <c:pt idx="8">
                  <c:v>52.246299999999998</c:v>
                </c:pt>
                <c:pt idx="9">
                  <c:v>66.081599999999995</c:v>
                </c:pt>
                <c:pt idx="10">
                  <c:v>79.879400000000004</c:v>
                </c:pt>
                <c:pt idx="11">
                  <c:v>94.489199999999997</c:v>
                </c:pt>
                <c:pt idx="12">
                  <c:v>110.134</c:v>
                </c:pt>
                <c:pt idx="13">
                  <c:v>125.24509999999999</c:v>
                </c:pt>
                <c:pt idx="14">
                  <c:v>137.8862</c:v>
                </c:pt>
                <c:pt idx="15">
                  <c:v>146.5342</c:v>
                </c:pt>
                <c:pt idx="16">
                  <c:v>151.07499999999999</c:v>
                </c:pt>
                <c:pt idx="17">
                  <c:v>152.44380000000001</c:v>
                </c:pt>
                <c:pt idx="18">
                  <c:v>151.71729999999999</c:v>
                </c:pt>
                <c:pt idx="19">
                  <c:v>150.4759</c:v>
                </c:pt>
                <c:pt idx="20">
                  <c:v>149.4804</c:v>
                </c:pt>
                <c:pt idx="21">
                  <c:v>148.6754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E817-46B3-8EB1-A7C1E9E25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6595616"/>
        <c:axId val="636598976"/>
      </c:scatterChart>
      <c:valAx>
        <c:axId val="636595616"/>
        <c:scaling>
          <c:orientation val="minMax"/>
          <c:max val="180"/>
          <c:min val="-3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HEEL TO STARBOARD (Deg)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36598976"/>
        <c:crosses val="autoZero"/>
        <c:crossBetween val="midCat"/>
        <c:majorUnit val="10"/>
      </c:valAx>
      <c:valAx>
        <c:axId val="63659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GZ Area (m.deg)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365956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093368237347287E-2"/>
          <c:y val="0.87161792812082373"/>
          <c:w val="0.90126527050610816"/>
          <c:h val="0.105934846024515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628272251308904E-2"/>
          <c:y val="3.5701489546900306E-2"/>
          <c:w val="0.90401396160558467"/>
          <c:h val="0.7081294617278498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'LOADCASE I'!$M$8:$M$9</c:f>
              <c:strCache>
                <c:ptCount val="1"/>
                <c:pt idx="0">
                  <c:v>LOADCASE I</c:v>
                </c:pt>
              </c:strCache>
            </c:strRef>
          </c:tx>
          <c:spPr>
            <a:ln w="95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'LOADCASE I'!$N$9:$AI$9</c:f>
              <c:numCache>
                <c:formatCode>General</c:formatCode>
                <c:ptCount val="22"/>
                <c:pt idx="0">
                  <c:v>-30</c:v>
                </c:pt>
                <c:pt idx="1">
                  <c:v>-20</c:v>
                </c:pt>
                <c:pt idx="2">
                  <c:v>-10</c:v>
                </c:pt>
                <c:pt idx="3">
                  <c:v>0</c:v>
                </c:pt>
                <c:pt idx="4">
                  <c:v>10</c:v>
                </c:pt>
                <c:pt idx="5">
                  <c:v>20</c:v>
                </c:pt>
                <c:pt idx="6">
                  <c:v>30</c:v>
                </c:pt>
                <c:pt idx="7">
                  <c:v>40</c:v>
                </c:pt>
                <c:pt idx="8">
                  <c:v>50</c:v>
                </c:pt>
                <c:pt idx="9">
                  <c:v>60</c:v>
                </c:pt>
                <c:pt idx="10">
                  <c:v>70</c:v>
                </c:pt>
                <c:pt idx="11">
                  <c:v>80</c:v>
                </c:pt>
                <c:pt idx="12">
                  <c:v>90</c:v>
                </c:pt>
                <c:pt idx="13">
                  <c:v>100</c:v>
                </c:pt>
                <c:pt idx="14">
                  <c:v>110</c:v>
                </c:pt>
                <c:pt idx="15">
                  <c:v>120</c:v>
                </c:pt>
                <c:pt idx="16">
                  <c:v>130</c:v>
                </c:pt>
                <c:pt idx="17">
                  <c:v>140</c:v>
                </c:pt>
                <c:pt idx="18">
                  <c:v>150</c:v>
                </c:pt>
                <c:pt idx="19">
                  <c:v>160</c:v>
                </c:pt>
                <c:pt idx="20">
                  <c:v>170</c:v>
                </c:pt>
                <c:pt idx="21">
                  <c:v>180</c:v>
                </c:pt>
              </c:numCache>
            </c:numRef>
          </c:xVal>
          <c:yVal>
            <c:numRef>
              <c:f>'LOADCASE I'!$AM$10:$BH$10</c:f>
              <c:numCache>
                <c:formatCode>General</c:formatCode>
                <c:ptCount val="22"/>
                <c:pt idx="0">
                  <c:v>-5.0389999999999997</c:v>
                </c:pt>
                <c:pt idx="1">
                  <c:v>-5.0490000000000004</c:v>
                </c:pt>
                <c:pt idx="2">
                  <c:v>-3.335</c:v>
                </c:pt>
                <c:pt idx="3">
                  <c:v>-6.0000000000000001E-3</c:v>
                </c:pt>
                <c:pt idx="4">
                  <c:v>3.331</c:v>
                </c:pt>
                <c:pt idx="5">
                  <c:v>5.0510000000000002</c:v>
                </c:pt>
                <c:pt idx="6">
                  <c:v>5.0410000000000004</c:v>
                </c:pt>
                <c:pt idx="7">
                  <c:v>4.891</c:v>
                </c:pt>
                <c:pt idx="8">
                  <c:v>4.6230000000000002</c:v>
                </c:pt>
                <c:pt idx="9">
                  <c:v>4.29</c:v>
                </c:pt>
                <c:pt idx="10">
                  <c:v>4.077</c:v>
                </c:pt>
                <c:pt idx="11">
                  <c:v>4.633</c:v>
                </c:pt>
                <c:pt idx="12">
                  <c:v>7.1909999999999998</c:v>
                </c:pt>
                <c:pt idx="13">
                  <c:v>7.6909999999999998</c:v>
                </c:pt>
                <c:pt idx="14">
                  <c:v>7.0129999999999999</c:v>
                </c:pt>
                <c:pt idx="15">
                  <c:v>5.8310000000000004</c:v>
                </c:pt>
                <c:pt idx="16">
                  <c:v>4.351</c:v>
                </c:pt>
                <c:pt idx="17">
                  <c:v>2.7229999999999999</c:v>
                </c:pt>
                <c:pt idx="18">
                  <c:v>1.0449999999999999</c:v>
                </c:pt>
                <c:pt idx="19">
                  <c:v>-0.55700000000000005</c:v>
                </c:pt>
                <c:pt idx="20">
                  <c:v>-1.7629999999999999</c:v>
                </c:pt>
                <c:pt idx="2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2E2-41A5-85B6-DEDF59F7D0F3}"/>
            </c:ext>
          </c:extLst>
        </c:ser>
        <c:ser>
          <c:idx val="1"/>
          <c:order val="1"/>
          <c:tx>
            <c:strRef>
              <c:f>'LOADCASE II'!$M$8:$M$9</c:f>
              <c:strCache>
                <c:ptCount val="1"/>
                <c:pt idx="0">
                  <c:v>LOADCASE II</c:v>
                </c:pt>
              </c:strCache>
            </c:strRef>
          </c:tx>
          <c:spPr>
            <a:ln w="95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'LOADCASE II'!$N$9:$AI$9</c:f>
              <c:numCache>
                <c:formatCode>General</c:formatCode>
                <c:ptCount val="22"/>
                <c:pt idx="0">
                  <c:v>-30</c:v>
                </c:pt>
                <c:pt idx="1">
                  <c:v>-20</c:v>
                </c:pt>
                <c:pt idx="2">
                  <c:v>-10</c:v>
                </c:pt>
                <c:pt idx="3">
                  <c:v>0</c:v>
                </c:pt>
                <c:pt idx="4">
                  <c:v>10</c:v>
                </c:pt>
                <c:pt idx="5">
                  <c:v>20</c:v>
                </c:pt>
                <c:pt idx="6">
                  <c:v>30</c:v>
                </c:pt>
                <c:pt idx="7">
                  <c:v>40</c:v>
                </c:pt>
                <c:pt idx="8">
                  <c:v>50</c:v>
                </c:pt>
                <c:pt idx="9">
                  <c:v>60</c:v>
                </c:pt>
                <c:pt idx="10">
                  <c:v>70</c:v>
                </c:pt>
                <c:pt idx="11">
                  <c:v>80</c:v>
                </c:pt>
                <c:pt idx="12">
                  <c:v>90</c:v>
                </c:pt>
                <c:pt idx="13">
                  <c:v>100</c:v>
                </c:pt>
                <c:pt idx="14">
                  <c:v>110</c:v>
                </c:pt>
                <c:pt idx="15">
                  <c:v>120</c:v>
                </c:pt>
                <c:pt idx="16">
                  <c:v>130</c:v>
                </c:pt>
                <c:pt idx="17">
                  <c:v>140</c:v>
                </c:pt>
                <c:pt idx="18">
                  <c:v>150</c:v>
                </c:pt>
                <c:pt idx="19">
                  <c:v>160</c:v>
                </c:pt>
                <c:pt idx="20">
                  <c:v>170</c:v>
                </c:pt>
                <c:pt idx="21">
                  <c:v>180</c:v>
                </c:pt>
              </c:numCache>
            </c:numRef>
          </c:xVal>
          <c:yVal>
            <c:numRef>
              <c:f>'LOADCASE II'!$AM$10:$BH$10</c:f>
              <c:numCache>
                <c:formatCode>General</c:formatCode>
                <c:ptCount val="22"/>
                <c:pt idx="0">
                  <c:v>-4.7619999999999996</c:v>
                </c:pt>
                <c:pt idx="1">
                  <c:v>-3.9039999999999999</c:v>
                </c:pt>
                <c:pt idx="2">
                  <c:v>-1.9990000000000001</c:v>
                </c:pt>
                <c:pt idx="3">
                  <c:v>-3.0000000000000001E-3</c:v>
                </c:pt>
                <c:pt idx="4">
                  <c:v>1.994</c:v>
                </c:pt>
                <c:pt idx="5">
                  <c:v>3.903</c:v>
                </c:pt>
                <c:pt idx="6">
                  <c:v>4.7640000000000002</c:v>
                </c:pt>
                <c:pt idx="7">
                  <c:v>4.5330000000000004</c:v>
                </c:pt>
                <c:pt idx="8">
                  <c:v>4.1879999999999997</c:v>
                </c:pt>
                <c:pt idx="9">
                  <c:v>3.7690000000000001</c:v>
                </c:pt>
                <c:pt idx="10">
                  <c:v>3.3919999999999999</c:v>
                </c:pt>
                <c:pt idx="11">
                  <c:v>3.6179999999999999</c:v>
                </c:pt>
                <c:pt idx="12">
                  <c:v>4.9119999999999999</c:v>
                </c:pt>
                <c:pt idx="13">
                  <c:v>5.3310000000000004</c:v>
                </c:pt>
                <c:pt idx="14">
                  <c:v>4.9450000000000003</c:v>
                </c:pt>
                <c:pt idx="15">
                  <c:v>4.085</c:v>
                </c:pt>
                <c:pt idx="16">
                  <c:v>2.9929999999999999</c:v>
                </c:pt>
                <c:pt idx="17">
                  <c:v>1.768</c:v>
                </c:pt>
                <c:pt idx="18">
                  <c:v>0.53900000000000003</c:v>
                </c:pt>
                <c:pt idx="19">
                  <c:v>-0.54500000000000004</c:v>
                </c:pt>
                <c:pt idx="20">
                  <c:v>-1.052</c:v>
                </c:pt>
                <c:pt idx="2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2E2-41A5-85B6-DEDF59F7D0F3}"/>
            </c:ext>
          </c:extLst>
        </c:ser>
        <c:ser>
          <c:idx val="2"/>
          <c:order val="2"/>
          <c:tx>
            <c:strRef>
              <c:f>'LOADCASE III'!$M$8:$M$9</c:f>
              <c:strCache>
                <c:ptCount val="1"/>
                <c:pt idx="0">
                  <c:v>LOADCASE III</c:v>
                </c:pt>
              </c:strCache>
            </c:strRef>
          </c:tx>
          <c:spPr>
            <a:ln w="95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'LOADCASE III'!$N$9:$AI$9</c:f>
              <c:numCache>
                <c:formatCode>General</c:formatCode>
                <c:ptCount val="22"/>
                <c:pt idx="0">
                  <c:v>-30</c:v>
                </c:pt>
                <c:pt idx="1">
                  <c:v>-20</c:v>
                </c:pt>
                <c:pt idx="2">
                  <c:v>-10</c:v>
                </c:pt>
                <c:pt idx="3">
                  <c:v>0</c:v>
                </c:pt>
                <c:pt idx="4">
                  <c:v>10</c:v>
                </c:pt>
                <c:pt idx="5">
                  <c:v>20</c:v>
                </c:pt>
                <c:pt idx="6">
                  <c:v>30</c:v>
                </c:pt>
                <c:pt idx="7">
                  <c:v>40</c:v>
                </c:pt>
                <c:pt idx="8">
                  <c:v>50</c:v>
                </c:pt>
                <c:pt idx="9">
                  <c:v>60</c:v>
                </c:pt>
                <c:pt idx="10">
                  <c:v>70</c:v>
                </c:pt>
                <c:pt idx="11">
                  <c:v>80</c:v>
                </c:pt>
                <c:pt idx="12">
                  <c:v>90</c:v>
                </c:pt>
                <c:pt idx="13">
                  <c:v>100</c:v>
                </c:pt>
                <c:pt idx="14">
                  <c:v>110</c:v>
                </c:pt>
                <c:pt idx="15">
                  <c:v>120</c:v>
                </c:pt>
                <c:pt idx="16">
                  <c:v>130</c:v>
                </c:pt>
                <c:pt idx="17">
                  <c:v>140</c:v>
                </c:pt>
                <c:pt idx="18">
                  <c:v>150</c:v>
                </c:pt>
                <c:pt idx="19">
                  <c:v>160</c:v>
                </c:pt>
                <c:pt idx="20">
                  <c:v>170</c:v>
                </c:pt>
                <c:pt idx="21">
                  <c:v>180</c:v>
                </c:pt>
              </c:numCache>
            </c:numRef>
          </c:xVal>
          <c:yVal>
            <c:numRef>
              <c:f>'LOADCASE III'!$AM$10:$BH$10</c:f>
              <c:numCache>
                <c:formatCode>General</c:formatCode>
                <c:ptCount val="22"/>
                <c:pt idx="0">
                  <c:v>-4.8739999999999997</c:v>
                </c:pt>
                <c:pt idx="1">
                  <c:v>-4.0679999999999996</c:v>
                </c:pt>
                <c:pt idx="2">
                  <c:v>-2.0920000000000001</c:v>
                </c:pt>
                <c:pt idx="3">
                  <c:v>-3.0000000000000001E-3</c:v>
                </c:pt>
                <c:pt idx="4">
                  <c:v>2.0870000000000002</c:v>
                </c:pt>
                <c:pt idx="5">
                  <c:v>4.0670000000000002</c:v>
                </c:pt>
                <c:pt idx="6">
                  <c:v>4.8760000000000003</c:v>
                </c:pt>
                <c:pt idx="7">
                  <c:v>4.6769999999999996</c:v>
                </c:pt>
                <c:pt idx="8">
                  <c:v>4.3620000000000001</c:v>
                </c:pt>
                <c:pt idx="9">
                  <c:v>3.968</c:v>
                </c:pt>
                <c:pt idx="10">
                  <c:v>3.613</c:v>
                </c:pt>
                <c:pt idx="11">
                  <c:v>3.8679999999999999</c:v>
                </c:pt>
                <c:pt idx="12">
                  <c:v>5.2439999999999998</c:v>
                </c:pt>
                <c:pt idx="13">
                  <c:v>5.665</c:v>
                </c:pt>
                <c:pt idx="14">
                  <c:v>5.2519999999999998</c:v>
                </c:pt>
                <c:pt idx="15">
                  <c:v>4.359</c:v>
                </c:pt>
                <c:pt idx="16">
                  <c:v>3.2250000000000001</c:v>
                </c:pt>
                <c:pt idx="17">
                  <c:v>1.9510000000000001</c:v>
                </c:pt>
                <c:pt idx="18">
                  <c:v>0.66700000000000004</c:v>
                </c:pt>
                <c:pt idx="19">
                  <c:v>-0.47799999999999998</c:v>
                </c:pt>
                <c:pt idx="20">
                  <c:v>-1.0609999999999999</c:v>
                </c:pt>
                <c:pt idx="2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2E2-41A5-85B6-DEDF59F7D0F3}"/>
            </c:ext>
          </c:extLst>
        </c:ser>
        <c:ser>
          <c:idx val="3"/>
          <c:order val="3"/>
          <c:tx>
            <c:strRef>
              <c:f>'LOADCASE IV'!$M$8:$M$9</c:f>
              <c:strCache>
                <c:ptCount val="1"/>
                <c:pt idx="0">
                  <c:v>LOADCASE IV</c:v>
                </c:pt>
              </c:strCache>
            </c:strRef>
          </c:tx>
          <c:spPr>
            <a:ln w="9525" cap="rnd">
              <a:solidFill>
                <a:schemeClr val="accent4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'LOADCASE IV'!$N$9:$AI$9</c:f>
              <c:numCache>
                <c:formatCode>General</c:formatCode>
                <c:ptCount val="22"/>
                <c:pt idx="0">
                  <c:v>-30</c:v>
                </c:pt>
                <c:pt idx="1">
                  <c:v>-20</c:v>
                </c:pt>
                <c:pt idx="2">
                  <c:v>-10</c:v>
                </c:pt>
                <c:pt idx="3">
                  <c:v>0</c:v>
                </c:pt>
                <c:pt idx="4">
                  <c:v>10</c:v>
                </c:pt>
                <c:pt idx="5">
                  <c:v>20</c:v>
                </c:pt>
                <c:pt idx="6">
                  <c:v>30</c:v>
                </c:pt>
                <c:pt idx="7">
                  <c:v>40</c:v>
                </c:pt>
                <c:pt idx="8">
                  <c:v>50</c:v>
                </c:pt>
                <c:pt idx="9">
                  <c:v>60</c:v>
                </c:pt>
                <c:pt idx="10">
                  <c:v>70</c:v>
                </c:pt>
                <c:pt idx="11">
                  <c:v>80</c:v>
                </c:pt>
                <c:pt idx="12">
                  <c:v>90</c:v>
                </c:pt>
                <c:pt idx="13">
                  <c:v>100</c:v>
                </c:pt>
                <c:pt idx="14">
                  <c:v>110</c:v>
                </c:pt>
                <c:pt idx="15">
                  <c:v>120</c:v>
                </c:pt>
                <c:pt idx="16">
                  <c:v>130</c:v>
                </c:pt>
                <c:pt idx="17">
                  <c:v>140</c:v>
                </c:pt>
                <c:pt idx="18">
                  <c:v>150</c:v>
                </c:pt>
                <c:pt idx="19">
                  <c:v>160</c:v>
                </c:pt>
                <c:pt idx="20">
                  <c:v>170</c:v>
                </c:pt>
                <c:pt idx="21">
                  <c:v>180</c:v>
                </c:pt>
              </c:numCache>
            </c:numRef>
          </c:xVal>
          <c:yVal>
            <c:numRef>
              <c:f>'LOADCASE IV'!$AM$10:$BH$10</c:f>
              <c:numCache>
                <c:formatCode>General</c:formatCode>
                <c:ptCount val="22"/>
                <c:pt idx="0">
                  <c:v>-4.742</c:v>
                </c:pt>
                <c:pt idx="1">
                  <c:v>-3.97</c:v>
                </c:pt>
                <c:pt idx="2">
                  <c:v>-2.0470000000000002</c:v>
                </c:pt>
                <c:pt idx="3">
                  <c:v>-1.6E-2</c:v>
                </c:pt>
                <c:pt idx="4">
                  <c:v>2.016</c:v>
                </c:pt>
                <c:pt idx="5">
                  <c:v>3.9449999999999998</c:v>
                </c:pt>
                <c:pt idx="6">
                  <c:v>4.7210000000000001</c:v>
                </c:pt>
                <c:pt idx="7">
                  <c:v>4.4820000000000002</c:v>
                </c:pt>
                <c:pt idx="8">
                  <c:v>4.133</c:v>
                </c:pt>
                <c:pt idx="9">
                  <c:v>3.7120000000000002</c:v>
                </c:pt>
                <c:pt idx="10">
                  <c:v>3.3370000000000002</c:v>
                </c:pt>
                <c:pt idx="11">
                  <c:v>3.5790000000000002</c:v>
                </c:pt>
                <c:pt idx="12">
                  <c:v>4.9420000000000002</c:v>
                </c:pt>
                <c:pt idx="13">
                  <c:v>5.3680000000000003</c:v>
                </c:pt>
                <c:pt idx="14">
                  <c:v>4.9740000000000002</c:v>
                </c:pt>
                <c:pt idx="15">
                  <c:v>4.1050000000000004</c:v>
                </c:pt>
                <c:pt idx="16">
                  <c:v>3.0049999999999999</c:v>
                </c:pt>
                <c:pt idx="17">
                  <c:v>1.7709999999999999</c:v>
                </c:pt>
                <c:pt idx="18">
                  <c:v>0.53300000000000003</c:v>
                </c:pt>
                <c:pt idx="19">
                  <c:v>-0.56299999999999994</c:v>
                </c:pt>
                <c:pt idx="20">
                  <c:v>-1.0920000000000001</c:v>
                </c:pt>
                <c:pt idx="21">
                  <c:v>1.2999999999999999E-2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2E2-41A5-85B6-DEDF59F7D0F3}"/>
            </c:ext>
          </c:extLst>
        </c:ser>
        <c:ser>
          <c:idx val="4"/>
          <c:order val="4"/>
          <c:tx>
            <c:strRef>
              <c:f>'LOADCASE V'!$M$8:$M$9</c:f>
              <c:strCache>
                <c:ptCount val="1"/>
                <c:pt idx="0">
                  <c:v>LOADCASE V</c:v>
                </c:pt>
              </c:strCache>
            </c:strRef>
          </c:tx>
          <c:spPr>
            <a:ln w="9525" cap="rnd">
              <a:solidFill>
                <a:schemeClr val="accent5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'LOADCASE V'!$N$9:$AI$9</c:f>
              <c:numCache>
                <c:formatCode>General</c:formatCode>
                <c:ptCount val="22"/>
                <c:pt idx="0">
                  <c:v>-30</c:v>
                </c:pt>
                <c:pt idx="1">
                  <c:v>-20</c:v>
                </c:pt>
                <c:pt idx="2">
                  <c:v>-10</c:v>
                </c:pt>
                <c:pt idx="3">
                  <c:v>0</c:v>
                </c:pt>
                <c:pt idx="4">
                  <c:v>10</c:v>
                </c:pt>
                <c:pt idx="5">
                  <c:v>20</c:v>
                </c:pt>
                <c:pt idx="6">
                  <c:v>30</c:v>
                </c:pt>
                <c:pt idx="7">
                  <c:v>40</c:v>
                </c:pt>
                <c:pt idx="8">
                  <c:v>50</c:v>
                </c:pt>
                <c:pt idx="9">
                  <c:v>60</c:v>
                </c:pt>
                <c:pt idx="10">
                  <c:v>70</c:v>
                </c:pt>
                <c:pt idx="11">
                  <c:v>80</c:v>
                </c:pt>
                <c:pt idx="12">
                  <c:v>90</c:v>
                </c:pt>
                <c:pt idx="13">
                  <c:v>100</c:v>
                </c:pt>
                <c:pt idx="14">
                  <c:v>110</c:v>
                </c:pt>
                <c:pt idx="15">
                  <c:v>120</c:v>
                </c:pt>
                <c:pt idx="16">
                  <c:v>130</c:v>
                </c:pt>
                <c:pt idx="17">
                  <c:v>140</c:v>
                </c:pt>
                <c:pt idx="18">
                  <c:v>150</c:v>
                </c:pt>
                <c:pt idx="19">
                  <c:v>160</c:v>
                </c:pt>
                <c:pt idx="20">
                  <c:v>170</c:v>
                </c:pt>
                <c:pt idx="21">
                  <c:v>180</c:v>
                </c:pt>
              </c:numCache>
            </c:numRef>
          </c:xVal>
          <c:yVal>
            <c:numRef>
              <c:f>'LOADCASE V'!$AM$10:$BH$10</c:f>
              <c:numCache>
                <c:formatCode>General</c:formatCode>
                <c:ptCount val="22"/>
                <c:pt idx="0">
                  <c:v>-4.7169999999999996</c:v>
                </c:pt>
                <c:pt idx="1">
                  <c:v>-4.0010000000000003</c:v>
                </c:pt>
                <c:pt idx="2">
                  <c:v>-2.0630000000000002</c:v>
                </c:pt>
                <c:pt idx="3">
                  <c:v>-3.0000000000000001E-3</c:v>
                </c:pt>
                <c:pt idx="4">
                  <c:v>2.0569999999999999</c:v>
                </c:pt>
                <c:pt idx="5">
                  <c:v>4</c:v>
                </c:pt>
                <c:pt idx="6">
                  <c:v>4.718</c:v>
                </c:pt>
                <c:pt idx="7">
                  <c:v>4.4740000000000002</c:v>
                </c:pt>
                <c:pt idx="8">
                  <c:v>4.1219999999999999</c:v>
                </c:pt>
                <c:pt idx="9">
                  <c:v>3.698</c:v>
                </c:pt>
                <c:pt idx="10">
                  <c:v>3.323</c:v>
                </c:pt>
                <c:pt idx="11">
                  <c:v>3.5710000000000002</c:v>
                </c:pt>
                <c:pt idx="12">
                  <c:v>4.9790000000000001</c:v>
                </c:pt>
                <c:pt idx="13">
                  <c:v>5.4059999999999997</c:v>
                </c:pt>
                <c:pt idx="14">
                  <c:v>5.0010000000000003</c:v>
                </c:pt>
                <c:pt idx="15">
                  <c:v>4.1230000000000002</c:v>
                </c:pt>
                <c:pt idx="16">
                  <c:v>3.0110000000000001</c:v>
                </c:pt>
                <c:pt idx="17">
                  <c:v>1.7669999999999999</c:v>
                </c:pt>
                <c:pt idx="18">
                  <c:v>0.51700000000000002</c:v>
                </c:pt>
                <c:pt idx="19">
                  <c:v>-0.59099999999999997</c:v>
                </c:pt>
                <c:pt idx="20">
                  <c:v>-1.1379999999999999</c:v>
                </c:pt>
                <c:pt idx="2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2E2-41A5-85B6-DEDF59F7D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6595616"/>
        <c:axId val="636598976"/>
      </c:scatterChart>
      <c:valAx>
        <c:axId val="636595616"/>
        <c:scaling>
          <c:orientation val="minMax"/>
          <c:max val="180"/>
          <c:min val="-3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HEEL TO STARBOARD (Deg)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36598976"/>
        <c:crosses val="autoZero"/>
        <c:crossBetween val="midCat"/>
        <c:majorUnit val="10"/>
      </c:valAx>
      <c:valAx>
        <c:axId val="63659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GZ Length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365956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093368237347287E-2"/>
          <c:y val="0.79131776574609469"/>
          <c:w val="0.89690226876090751"/>
          <c:h val="9.49848395579761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628272251308904E-2"/>
          <c:y val="3.5701489546900306E-2"/>
          <c:w val="0.90401396160558467"/>
          <c:h val="0.7300294586788141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'LOADCASE I'!$M$8:$M$9</c:f>
              <c:strCache>
                <c:ptCount val="1"/>
                <c:pt idx="0">
                  <c:v>LOADCASE I</c:v>
                </c:pt>
              </c:strCache>
            </c:strRef>
          </c:tx>
          <c:spPr>
            <a:ln w="95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'LOADCASE I'!$N$9:$AI$9</c:f>
              <c:numCache>
                <c:formatCode>General</c:formatCode>
                <c:ptCount val="22"/>
                <c:pt idx="0">
                  <c:v>-30</c:v>
                </c:pt>
                <c:pt idx="1">
                  <c:v>-20</c:v>
                </c:pt>
                <c:pt idx="2">
                  <c:v>-10</c:v>
                </c:pt>
                <c:pt idx="3">
                  <c:v>0</c:v>
                </c:pt>
                <c:pt idx="4">
                  <c:v>10</c:v>
                </c:pt>
                <c:pt idx="5">
                  <c:v>20</c:v>
                </c:pt>
                <c:pt idx="6">
                  <c:v>30</c:v>
                </c:pt>
                <c:pt idx="7">
                  <c:v>40</c:v>
                </c:pt>
                <c:pt idx="8">
                  <c:v>50</c:v>
                </c:pt>
                <c:pt idx="9">
                  <c:v>60</c:v>
                </c:pt>
                <c:pt idx="10">
                  <c:v>70</c:v>
                </c:pt>
                <c:pt idx="11">
                  <c:v>80</c:v>
                </c:pt>
                <c:pt idx="12">
                  <c:v>90</c:v>
                </c:pt>
                <c:pt idx="13">
                  <c:v>100</c:v>
                </c:pt>
                <c:pt idx="14">
                  <c:v>110</c:v>
                </c:pt>
                <c:pt idx="15">
                  <c:v>120</c:v>
                </c:pt>
                <c:pt idx="16">
                  <c:v>130</c:v>
                </c:pt>
                <c:pt idx="17">
                  <c:v>140</c:v>
                </c:pt>
                <c:pt idx="18">
                  <c:v>150</c:v>
                </c:pt>
                <c:pt idx="19">
                  <c:v>160</c:v>
                </c:pt>
                <c:pt idx="20">
                  <c:v>170</c:v>
                </c:pt>
                <c:pt idx="21">
                  <c:v>180</c:v>
                </c:pt>
              </c:numCache>
            </c:numRef>
          </c:xVal>
          <c:yVal>
            <c:numRef>
              <c:f>'LOADCASE I'!$AM$11:$BH$11</c:f>
              <c:numCache>
                <c:formatCode>General</c:formatCode>
                <c:ptCount val="22"/>
                <c:pt idx="0">
                  <c:v>112.3852</c:v>
                </c:pt>
                <c:pt idx="1">
                  <c:v>61.071100000000001</c:v>
                </c:pt>
                <c:pt idx="2">
                  <c:v>17.4923</c:v>
                </c:pt>
                <c:pt idx="3">
                  <c:v>-1.1299999999999999E-2</c:v>
                </c:pt>
                <c:pt idx="4">
                  <c:v>17.395299999999999</c:v>
                </c:pt>
                <c:pt idx="5">
                  <c:v>61.0032</c:v>
                </c:pt>
                <c:pt idx="6">
                  <c:v>112.215</c:v>
                </c:pt>
                <c:pt idx="7">
                  <c:v>161.81440000000001</c:v>
                </c:pt>
                <c:pt idx="8">
                  <c:v>209.52789999999999</c:v>
                </c:pt>
                <c:pt idx="9">
                  <c:v>254.05269999999999</c:v>
                </c:pt>
                <c:pt idx="10">
                  <c:v>295.7672</c:v>
                </c:pt>
                <c:pt idx="11">
                  <c:v>337.63740000000001</c:v>
                </c:pt>
                <c:pt idx="12">
                  <c:v>396.73910000000001</c:v>
                </c:pt>
                <c:pt idx="13">
                  <c:v>473.03829999999999</c:v>
                </c:pt>
                <c:pt idx="14">
                  <c:v>547.04679999999996</c:v>
                </c:pt>
                <c:pt idx="15">
                  <c:v>611.59659999999997</c:v>
                </c:pt>
                <c:pt idx="16">
                  <c:v>662.6721</c:v>
                </c:pt>
                <c:pt idx="17">
                  <c:v>698.14359999999999</c:v>
                </c:pt>
                <c:pt idx="18">
                  <c:v>716.91229999999996</c:v>
                </c:pt>
                <c:pt idx="19">
                  <c:v>719.48910000000001</c:v>
                </c:pt>
                <c:pt idx="20">
                  <c:v>706.24630000000002</c:v>
                </c:pt>
                <c:pt idx="21">
                  <c:v>695.52750000000003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A36-41AF-AA34-F323E37FFD74}"/>
            </c:ext>
          </c:extLst>
        </c:ser>
        <c:ser>
          <c:idx val="1"/>
          <c:order val="1"/>
          <c:tx>
            <c:strRef>
              <c:f>'LOADCASE II'!$M$8:$M$9</c:f>
              <c:strCache>
                <c:ptCount val="1"/>
                <c:pt idx="0">
                  <c:v>LOADCASE II</c:v>
                </c:pt>
              </c:strCache>
            </c:strRef>
          </c:tx>
          <c:spPr>
            <a:ln w="95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'LOADCASE II'!$N$9:$AI$9</c:f>
              <c:numCache>
                <c:formatCode>General</c:formatCode>
                <c:ptCount val="22"/>
                <c:pt idx="0">
                  <c:v>-30</c:v>
                </c:pt>
                <c:pt idx="1">
                  <c:v>-20</c:v>
                </c:pt>
                <c:pt idx="2">
                  <c:v>-10</c:v>
                </c:pt>
                <c:pt idx="3">
                  <c:v>0</c:v>
                </c:pt>
                <c:pt idx="4">
                  <c:v>10</c:v>
                </c:pt>
                <c:pt idx="5">
                  <c:v>20</c:v>
                </c:pt>
                <c:pt idx="6">
                  <c:v>30</c:v>
                </c:pt>
                <c:pt idx="7">
                  <c:v>40</c:v>
                </c:pt>
                <c:pt idx="8">
                  <c:v>50</c:v>
                </c:pt>
                <c:pt idx="9">
                  <c:v>60</c:v>
                </c:pt>
                <c:pt idx="10">
                  <c:v>70</c:v>
                </c:pt>
                <c:pt idx="11">
                  <c:v>80</c:v>
                </c:pt>
                <c:pt idx="12">
                  <c:v>90</c:v>
                </c:pt>
                <c:pt idx="13">
                  <c:v>100</c:v>
                </c:pt>
                <c:pt idx="14">
                  <c:v>110</c:v>
                </c:pt>
                <c:pt idx="15">
                  <c:v>120</c:v>
                </c:pt>
                <c:pt idx="16">
                  <c:v>130</c:v>
                </c:pt>
                <c:pt idx="17">
                  <c:v>140</c:v>
                </c:pt>
                <c:pt idx="18">
                  <c:v>150</c:v>
                </c:pt>
                <c:pt idx="19">
                  <c:v>160</c:v>
                </c:pt>
                <c:pt idx="20">
                  <c:v>170</c:v>
                </c:pt>
                <c:pt idx="21">
                  <c:v>180</c:v>
                </c:pt>
              </c:numCache>
            </c:numRef>
          </c:xVal>
          <c:yVal>
            <c:numRef>
              <c:f>'LOADCASE II'!$AM$11:$BH$11</c:f>
              <c:numCache>
                <c:formatCode>General</c:formatCode>
                <c:ptCount val="22"/>
                <c:pt idx="0">
                  <c:v>83.990300000000005</c:v>
                </c:pt>
                <c:pt idx="1">
                  <c:v>39.983199999999997</c:v>
                </c:pt>
                <c:pt idx="2">
                  <c:v>9.9050999999999991</c:v>
                </c:pt>
                <c:pt idx="3">
                  <c:v>-5.1000000000000004E-3</c:v>
                </c:pt>
                <c:pt idx="4">
                  <c:v>9.8711000000000002</c:v>
                </c:pt>
                <c:pt idx="5">
                  <c:v>39.8108</c:v>
                </c:pt>
                <c:pt idx="6">
                  <c:v>84.239099999999993</c:v>
                </c:pt>
                <c:pt idx="7">
                  <c:v>131.20060000000001</c:v>
                </c:pt>
                <c:pt idx="8">
                  <c:v>174.78659999999999</c:v>
                </c:pt>
                <c:pt idx="9">
                  <c:v>214.63929999999999</c:v>
                </c:pt>
                <c:pt idx="10">
                  <c:v>250.26769999999999</c:v>
                </c:pt>
                <c:pt idx="11">
                  <c:v>284.35860000000002</c:v>
                </c:pt>
                <c:pt idx="12">
                  <c:v>326.89249999999998</c:v>
                </c:pt>
                <c:pt idx="13">
                  <c:v>379.05880000000002</c:v>
                </c:pt>
                <c:pt idx="14">
                  <c:v>430.92880000000002</c:v>
                </c:pt>
                <c:pt idx="15">
                  <c:v>476.36219999999997</c:v>
                </c:pt>
                <c:pt idx="16">
                  <c:v>511.89210000000003</c:v>
                </c:pt>
                <c:pt idx="17">
                  <c:v>535.76089999999999</c:v>
                </c:pt>
                <c:pt idx="18">
                  <c:v>547.23239999999998</c:v>
                </c:pt>
                <c:pt idx="19">
                  <c:v>547.03480000000002</c:v>
                </c:pt>
                <c:pt idx="20">
                  <c:v>538.00360000000001</c:v>
                </c:pt>
                <c:pt idx="21">
                  <c:v>531.80060000000003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A36-41AF-AA34-F323E37FFD74}"/>
            </c:ext>
          </c:extLst>
        </c:ser>
        <c:ser>
          <c:idx val="2"/>
          <c:order val="2"/>
          <c:tx>
            <c:strRef>
              <c:f>'LOADCASE III'!$M$8:$M$9</c:f>
              <c:strCache>
                <c:ptCount val="1"/>
                <c:pt idx="0">
                  <c:v>LOADCASE III</c:v>
                </c:pt>
              </c:strCache>
            </c:strRef>
          </c:tx>
          <c:spPr>
            <a:ln w="95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'LOADCASE III'!$N$9:$AI$9</c:f>
              <c:numCache>
                <c:formatCode>General</c:formatCode>
                <c:ptCount val="22"/>
                <c:pt idx="0">
                  <c:v>-30</c:v>
                </c:pt>
                <c:pt idx="1">
                  <c:v>-20</c:v>
                </c:pt>
                <c:pt idx="2">
                  <c:v>-10</c:v>
                </c:pt>
                <c:pt idx="3">
                  <c:v>0</c:v>
                </c:pt>
                <c:pt idx="4">
                  <c:v>10</c:v>
                </c:pt>
                <c:pt idx="5">
                  <c:v>20</c:v>
                </c:pt>
                <c:pt idx="6">
                  <c:v>30</c:v>
                </c:pt>
                <c:pt idx="7">
                  <c:v>40</c:v>
                </c:pt>
                <c:pt idx="8">
                  <c:v>50</c:v>
                </c:pt>
                <c:pt idx="9">
                  <c:v>60</c:v>
                </c:pt>
                <c:pt idx="10">
                  <c:v>70</c:v>
                </c:pt>
                <c:pt idx="11">
                  <c:v>80</c:v>
                </c:pt>
                <c:pt idx="12">
                  <c:v>90</c:v>
                </c:pt>
                <c:pt idx="13">
                  <c:v>100</c:v>
                </c:pt>
                <c:pt idx="14">
                  <c:v>110</c:v>
                </c:pt>
                <c:pt idx="15">
                  <c:v>120</c:v>
                </c:pt>
                <c:pt idx="16">
                  <c:v>130</c:v>
                </c:pt>
                <c:pt idx="17">
                  <c:v>140</c:v>
                </c:pt>
                <c:pt idx="18">
                  <c:v>150</c:v>
                </c:pt>
                <c:pt idx="19">
                  <c:v>160</c:v>
                </c:pt>
                <c:pt idx="20">
                  <c:v>170</c:v>
                </c:pt>
                <c:pt idx="21">
                  <c:v>180</c:v>
                </c:pt>
              </c:numCache>
            </c:numRef>
          </c:xVal>
          <c:yVal>
            <c:numRef>
              <c:f>'LOADCASE III'!$AM$11:$BH$11</c:f>
              <c:numCache>
                <c:formatCode>General</c:formatCode>
                <c:ptCount val="22"/>
                <c:pt idx="0">
                  <c:v>87.259699999999995</c:v>
                </c:pt>
                <c:pt idx="1">
                  <c:v>41.795699999999997</c:v>
                </c:pt>
                <c:pt idx="2">
                  <c:v>10.362500000000001</c:v>
                </c:pt>
                <c:pt idx="3">
                  <c:v>-5.4000000000000003E-3</c:v>
                </c:pt>
                <c:pt idx="4">
                  <c:v>10.322100000000001</c:v>
                </c:pt>
                <c:pt idx="5">
                  <c:v>41.6325</c:v>
                </c:pt>
                <c:pt idx="6">
                  <c:v>87.458600000000004</c:v>
                </c:pt>
                <c:pt idx="7">
                  <c:v>135.6379</c:v>
                </c:pt>
                <c:pt idx="8">
                  <c:v>180.8287</c:v>
                </c:pt>
                <c:pt idx="9">
                  <c:v>222.54390000000001</c:v>
                </c:pt>
                <c:pt idx="10">
                  <c:v>260.2824</c:v>
                </c:pt>
                <c:pt idx="11">
                  <c:v>296.6823</c:v>
                </c:pt>
                <c:pt idx="12">
                  <c:v>342.13639999999998</c:v>
                </c:pt>
                <c:pt idx="13">
                  <c:v>397.69139999999999</c:v>
                </c:pt>
                <c:pt idx="14">
                  <c:v>452.76459999999997</c:v>
                </c:pt>
                <c:pt idx="15">
                  <c:v>501.10770000000002</c:v>
                </c:pt>
                <c:pt idx="16">
                  <c:v>539.16869999999994</c:v>
                </c:pt>
                <c:pt idx="17">
                  <c:v>565.11739999999998</c:v>
                </c:pt>
                <c:pt idx="18">
                  <c:v>578.14829999999995</c:v>
                </c:pt>
                <c:pt idx="19">
                  <c:v>578.94359999999995</c:v>
                </c:pt>
                <c:pt idx="20">
                  <c:v>570.16330000000005</c:v>
                </c:pt>
                <c:pt idx="21">
                  <c:v>563.85699999999997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A36-41AF-AA34-F323E37FFD74}"/>
            </c:ext>
          </c:extLst>
        </c:ser>
        <c:ser>
          <c:idx val="3"/>
          <c:order val="3"/>
          <c:tx>
            <c:strRef>
              <c:f>'LOADCASE IV'!$M$8:$M$9</c:f>
              <c:strCache>
                <c:ptCount val="1"/>
                <c:pt idx="0">
                  <c:v>LOADCASE IV</c:v>
                </c:pt>
              </c:strCache>
            </c:strRef>
          </c:tx>
          <c:spPr>
            <a:ln w="9525" cap="rnd">
              <a:solidFill>
                <a:schemeClr val="accent4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'LOADCASE IV'!$N$9:$AI$9</c:f>
              <c:numCache>
                <c:formatCode>General</c:formatCode>
                <c:ptCount val="22"/>
                <c:pt idx="0">
                  <c:v>-30</c:v>
                </c:pt>
                <c:pt idx="1">
                  <c:v>-20</c:v>
                </c:pt>
                <c:pt idx="2">
                  <c:v>-10</c:v>
                </c:pt>
                <c:pt idx="3">
                  <c:v>0</c:v>
                </c:pt>
                <c:pt idx="4">
                  <c:v>10</c:v>
                </c:pt>
                <c:pt idx="5">
                  <c:v>20</c:v>
                </c:pt>
                <c:pt idx="6">
                  <c:v>30</c:v>
                </c:pt>
                <c:pt idx="7">
                  <c:v>40</c:v>
                </c:pt>
                <c:pt idx="8">
                  <c:v>50</c:v>
                </c:pt>
                <c:pt idx="9">
                  <c:v>60</c:v>
                </c:pt>
                <c:pt idx="10">
                  <c:v>70</c:v>
                </c:pt>
                <c:pt idx="11">
                  <c:v>80</c:v>
                </c:pt>
                <c:pt idx="12">
                  <c:v>90</c:v>
                </c:pt>
                <c:pt idx="13">
                  <c:v>100</c:v>
                </c:pt>
                <c:pt idx="14">
                  <c:v>110</c:v>
                </c:pt>
                <c:pt idx="15">
                  <c:v>120</c:v>
                </c:pt>
                <c:pt idx="16">
                  <c:v>130</c:v>
                </c:pt>
                <c:pt idx="17">
                  <c:v>140</c:v>
                </c:pt>
                <c:pt idx="18">
                  <c:v>150</c:v>
                </c:pt>
                <c:pt idx="19">
                  <c:v>160</c:v>
                </c:pt>
                <c:pt idx="20">
                  <c:v>170</c:v>
                </c:pt>
                <c:pt idx="21">
                  <c:v>180</c:v>
                </c:pt>
              </c:numCache>
            </c:numRef>
          </c:xVal>
          <c:yVal>
            <c:numRef>
              <c:f>'LOADCASE IV'!$AM$11:$BH$11</c:f>
              <c:numCache>
                <c:formatCode>General</c:formatCode>
                <c:ptCount val="22"/>
                <c:pt idx="0">
                  <c:v>85.216700000000003</c:v>
                </c:pt>
                <c:pt idx="1">
                  <c:v>40.9161</c:v>
                </c:pt>
                <c:pt idx="2">
                  <c:v>10.2066</c:v>
                </c:pt>
                <c:pt idx="3">
                  <c:v>-2.92E-2</c:v>
                </c:pt>
                <c:pt idx="4">
                  <c:v>9.9057999999999993</c:v>
                </c:pt>
                <c:pt idx="5">
                  <c:v>40.237299999999998</c:v>
                </c:pt>
                <c:pt idx="6">
                  <c:v>84.669499999999999</c:v>
                </c:pt>
                <c:pt idx="7">
                  <c:v>131.10400000000001</c:v>
                </c:pt>
                <c:pt idx="8">
                  <c:v>174.16909999999999</c:v>
                </c:pt>
                <c:pt idx="9">
                  <c:v>213.45359999999999</c:v>
                </c:pt>
                <c:pt idx="10">
                  <c:v>248.52350000000001</c:v>
                </c:pt>
                <c:pt idx="11">
                  <c:v>282.09660000000002</c:v>
                </c:pt>
                <c:pt idx="12">
                  <c:v>324.58580000000001</c:v>
                </c:pt>
                <c:pt idx="13">
                  <c:v>377.1345</c:v>
                </c:pt>
                <c:pt idx="14">
                  <c:v>429.32690000000002</c:v>
                </c:pt>
                <c:pt idx="15">
                  <c:v>475.00360000000001</c:v>
                </c:pt>
                <c:pt idx="16">
                  <c:v>510.69330000000002</c:v>
                </c:pt>
                <c:pt idx="17">
                  <c:v>534.63720000000001</c:v>
                </c:pt>
                <c:pt idx="18">
                  <c:v>546.0915</c:v>
                </c:pt>
                <c:pt idx="19">
                  <c:v>545.78599999999994</c:v>
                </c:pt>
                <c:pt idx="20">
                  <c:v>536.43420000000003</c:v>
                </c:pt>
                <c:pt idx="21">
                  <c:v>530.04880000000003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A36-41AF-AA34-F323E37FFD74}"/>
            </c:ext>
          </c:extLst>
        </c:ser>
        <c:ser>
          <c:idx val="4"/>
          <c:order val="4"/>
          <c:tx>
            <c:strRef>
              <c:f>'LOADCASE V'!$M$8:$M$9</c:f>
              <c:strCache>
                <c:ptCount val="1"/>
                <c:pt idx="0">
                  <c:v>LOADCASE V</c:v>
                </c:pt>
              </c:strCache>
            </c:strRef>
          </c:tx>
          <c:spPr>
            <a:ln w="9525" cap="rnd">
              <a:solidFill>
                <a:schemeClr val="accent5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'LOADCASE V'!$N$9:$AI$9</c:f>
              <c:numCache>
                <c:formatCode>General</c:formatCode>
                <c:ptCount val="22"/>
                <c:pt idx="0">
                  <c:v>-30</c:v>
                </c:pt>
                <c:pt idx="1">
                  <c:v>-20</c:v>
                </c:pt>
                <c:pt idx="2">
                  <c:v>-10</c:v>
                </c:pt>
                <c:pt idx="3">
                  <c:v>0</c:v>
                </c:pt>
                <c:pt idx="4">
                  <c:v>10</c:v>
                </c:pt>
                <c:pt idx="5">
                  <c:v>20</c:v>
                </c:pt>
                <c:pt idx="6">
                  <c:v>30</c:v>
                </c:pt>
                <c:pt idx="7">
                  <c:v>40</c:v>
                </c:pt>
                <c:pt idx="8">
                  <c:v>50</c:v>
                </c:pt>
                <c:pt idx="9">
                  <c:v>60</c:v>
                </c:pt>
                <c:pt idx="10">
                  <c:v>70</c:v>
                </c:pt>
                <c:pt idx="11">
                  <c:v>80</c:v>
                </c:pt>
                <c:pt idx="12">
                  <c:v>90</c:v>
                </c:pt>
                <c:pt idx="13">
                  <c:v>100</c:v>
                </c:pt>
                <c:pt idx="14">
                  <c:v>110</c:v>
                </c:pt>
                <c:pt idx="15">
                  <c:v>120</c:v>
                </c:pt>
                <c:pt idx="16">
                  <c:v>130</c:v>
                </c:pt>
                <c:pt idx="17">
                  <c:v>140</c:v>
                </c:pt>
                <c:pt idx="18">
                  <c:v>150</c:v>
                </c:pt>
                <c:pt idx="19">
                  <c:v>160</c:v>
                </c:pt>
                <c:pt idx="20">
                  <c:v>170</c:v>
                </c:pt>
                <c:pt idx="21">
                  <c:v>180</c:v>
                </c:pt>
              </c:numCache>
            </c:numRef>
          </c:xVal>
          <c:yVal>
            <c:numRef>
              <c:f>'LOADCASE V'!$AM$11:$BH$11</c:f>
              <c:numCache>
                <c:formatCode>General</c:formatCode>
                <c:ptCount val="22"/>
                <c:pt idx="0">
                  <c:v>85.570800000000006</c:v>
                </c:pt>
                <c:pt idx="1">
                  <c:v>41.195099999999996</c:v>
                </c:pt>
                <c:pt idx="2">
                  <c:v>10.2127</c:v>
                </c:pt>
                <c:pt idx="3">
                  <c:v>-5.4999999999999997E-3</c:v>
                </c:pt>
                <c:pt idx="4">
                  <c:v>10.169600000000001</c:v>
                </c:pt>
                <c:pt idx="5">
                  <c:v>41.0364</c:v>
                </c:pt>
                <c:pt idx="6">
                  <c:v>85.744399999999999</c:v>
                </c:pt>
                <c:pt idx="7">
                  <c:v>132.09229999999999</c:v>
                </c:pt>
                <c:pt idx="8">
                  <c:v>175.0737</c:v>
                </c:pt>
                <c:pt idx="9">
                  <c:v>214.2302</c:v>
                </c:pt>
                <c:pt idx="10">
                  <c:v>249.16229999999999</c:v>
                </c:pt>
                <c:pt idx="11">
                  <c:v>282.59640000000002</c:v>
                </c:pt>
                <c:pt idx="12">
                  <c:v>325.23750000000001</c:v>
                </c:pt>
                <c:pt idx="13">
                  <c:v>378.19549999999998</c:v>
                </c:pt>
                <c:pt idx="14">
                  <c:v>430.71210000000002</c:v>
                </c:pt>
                <c:pt idx="15">
                  <c:v>476.61279999999999</c:v>
                </c:pt>
                <c:pt idx="16">
                  <c:v>512.42089999999996</c:v>
                </c:pt>
                <c:pt idx="17">
                  <c:v>536.37670000000003</c:v>
                </c:pt>
                <c:pt idx="18">
                  <c:v>547.73249999999996</c:v>
                </c:pt>
                <c:pt idx="19">
                  <c:v>547.22220000000004</c:v>
                </c:pt>
                <c:pt idx="20">
                  <c:v>537.47889999999995</c:v>
                </c:pt>
                <c:pt idx="21">
                  <c:v>530.76250000000005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DA36-41AF-AA34-F323E37FF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6595616"/>
        <c:axId val="636598976"/>
      </c:scatterChart>
      <c:valAx>
        <c:axId val="636595616"/>
        <c:scaling>
          <c:orientation val="minMax"/>
          <c:max val="180"/>
          <c:min val="-3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HEEL TO STARBOARD (Deg)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36598976"/>
        <c:crosses val="autoZero"/>
        <c:crossBetween val="midCat"/>
        <c:majorUnit val="10"/>
      </c:valAx>
      <c:valAx>
        <c:axId val="63659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GZ Area (m.deg)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365956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093368237347287E-2"/>
          <c:y val="0.86796792596531058"/>
          <c:w val="0.90562827225130893"/>
          <c:h val="0.109584848180028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4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4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4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13" Type="http://schemas.openxmlformats.org/officeDocument/2006/relationships/image" Target="../media/image14.png"/><Relationship Id="rId18" Type="http://schemas.openxmlformats.org/officeDocument/2006/relationships/image" Target="../media/image17.png"/><Relationship Id="rId26" Type="http://schemas.openxmlformats.org/officeDocument/2006/relationships/image" Target="../media/image25.png"/><Relationship Id="rId3" Type="http://schemas.openxmlformats.org/officeDocument/2006/relationships/image" Target="../media/image5.png"/><Relationship Id="rId21" Type="http://schemas.openxmlformats.org/officeDocument/2006/relationships/image" Target="../media/image20.png"/><Relationship Id="rId7" Type="http://schemas.openxmlformats.org/officeDocument/2006/relationships/image" Target="../media/image9.png"/><Relationship Id="rId12" Type="http://schemas.openxmlformats.org/officeDocument/2006/relationships/chart" Target="../charts/chart1.xml"/><Relationship Id="rId17" Type="http://schemas.openxmlformats.org/officeDocument/2006/relationships/image" Target="../media/image16.png"/><Relationship Id="rId25" Type="http://schemas.openxmlformats.org/officeDocument/2006/relationships/image" Target="../media/image24.png"/><Relationship Id="rId2" Type="http://schemas.openxmlformats.org/officeDocument/2006/relationships/image" Target="../media/image4.png"/><Relationship Id="rId16" Type="http://schemas.openxmlformats.org/officeDocument/2006/relationships/image" Target="../media/image15.png"/><Relationship Id="rId20" Type="http://schemas.openxmlformats.org/officeDocument/2006/relationships/image" Target="../media/image19.png"/><Relationship Id="rId29" Type="http://schemas.openxmlformats.org/officeDocument/2006/relationships/image" Target="../media/image28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24" Type="http://schemas.openxmlformats.org/officeDocument/2006/relationships/image" Target="../media/image23.png"/><Relationship Id="rId5" Type="http://schemas.openxmlformats.org/officeDocument/2006/relationships/image" Target="../media/image7.png"/><Relationship Id="rId15" Type="http://schemas.openxmlformats.org/officeDocument/2006/relationships/chart" Target="../charts/chart3.xml"/><Relationship Id="rId23" Type="http://schemas.openxmlformats.org/officeDocument/2006/relationships/image" Target="../media/image22.png"/><Relationship Id="rId28" Type="http://schemas.openxmlformats.org/officeDocument/2006/relationships/image" Target="../media/image27.png"/><Relationship Id="rId10" Type="http://schemas.openxmlformats.org/officeDocument/2006/relationships/image" Target="../media/image12.png"/><Relationship Id="rId19" Type="http://schemas.openxmlformats.org/officeDocument/2006/relationships/image" Target="../media/image18.png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chart" Target="../charts/chart2.xml"/><Relationship Id="rId22" Type="http://schemas.openxmlformats.org/officeDocument/2006/relationships/image" Target="../media/image21.png"/><Relationship Id="rId27" Type="http://schemas.openxmlformats.org/officeDocument/2006/relationships/image" Target="../media/image26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6.png"/><Relationship Id="rId3" Type="http://schemas.openxmlformats.org/officeDocument/2006/relationships/image" Target="../media/image31.png"/><Relationship Id="rId7" Type="http://schemas.openxmlformats.org/officeDocument/2006/relationships/image" Target="../media/image35.png"/><Relationship Id="rId12" Type="http://schemas.openxmlformats.org/officeDocument/2006/relationships/image" Target="../media/image40.png"/><Relationship Id="rId2" Type="http://schemas.openxmlformats.org/officeDocument/2006/relationships/image" Target="../media/image30.png"/><Relationship Id="rId1" Type="http://schemas.openxmlformats.org/officeDocument/2006/relationships/image" Target="../media/image29.png"/><Relationship Id="rId6" Type="http://schemas.openxmlformats.org/officeDocument/2006/relationships/image" Target="../media/image34.png"/><Relationship Id="rId11" Type="http://schemas.openxmlformats.org/officeDocument/2006/relationships/image" Target="../media/image39.png"/><Relationship Id="rId5" Type="http://schemas.openxmlformats.org/officeDocument/2006/relationships/image" Target="../media/image33.png"/><Relationship Id="rId10" Type="http://schemas.openxmlformats.org/officeDocument/2006/relationships/image" Target="../media/image38.png"/><Relationship Id="rId4" Type="http://schemas.openxmlformats.org/officeDocument/2006/relationships/image" Target="../media/image32.png"/><Relationship Id="rId9" Type="http://schemas.openxmlformats.org/officeDocument/2006/relationships/image" Target="../media/image3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png"/><Relationship Id="rId2" Type="http://schemas.openxmlformats.org/officeDocument/2006/relationships/image" Target="../media/image42.png"/><Relationship Id="rId1" Type="http://schemas.openxmlformats.org/officeDocument/2006/relationships/image" Target="../media/image41.png"/><Relationship Id="rId5" Type="http://schemas.openxmlformats.org/officeDocument/2006/relationships/image" Target="../media/image45.png"/><Relationship Id="rId4" Type="http://schemas.openxmlformats.org/officeDocument/2006/relationships/image" Target="../media/image4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8.png"/><Relationship Id="rId2" Type="http://schemas.openxmlformats.org/officeDocument/2006/relationships/image" Target="../media/image47.png"/><Relationship Id="rId1" Type="http://schemas.openxmlformats.org/officeDocument/2006/relationships/image" Target="../media/image46.png"/><Relationship Id="rId5" Type="http://schemas.openxmlformats.org/officeDocument/2006/relationships/image" Target="../media/image50.png"/><Relationship Id="rId4" Type="http://schemas.openxmlformats.org/officeDocument/2006/relationships/image" Target="../media/image49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3.png"/><Relationship Id="rId2" Type="http://schemas.openxmlformats.org/officeDocument/2006/relationships/image" Target="../media/image52.png"/><Relationship Id="rId1" Type="http://schemas.openxmlformats.org/officeDocument/2006/relationships/image" Target="../media/image5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54428</xdr:rowOff>
    </xdr:from>
    <xdr:to>
      <xdr:col>21</xdr:col>
      <xdr:colOff>0</xdr:colOff>
      <xdr:row>27</xdr:row>
      <xdr:rowOff>6638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C0B8EA5-CA72-2B0F-D9E9-6AF6C41813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176"/>
        <a:stretch/>
      </xdr:blipFill>
      <xdr:spPr>
        <a:xfrm>
          <a:off x="6150429" y="250371"/>
          <a:ext cx="9144000" cy="480723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21</xdr:col>
      <xdr:colOff>0</xdr:colOff>
      <xdr:row>53</xdr:row>
      <xdr:rowOff>120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56F6BE-A9F2-AF5C-BADF-2DE1F8313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50429" y="5236029"/>
          <a:ext cx="9144000" cy="46244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32657</xdr:colOff>
      <xdr:row>27</xdr:row>
      <xdr:rowOff>10887</xdr:rowOff>
    </xdr:from>
    <xdr:to>
      <xdr:col>26</xdr:col>
      <xdr:colOff>32657</xdr:colOff>
      <xdr:row>51</xdr:row>
      <xdr:rowOff>168326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6CD191-B367-5784-09A3-8D22694EB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95857" y="5268687"/>
          <a:ext cx="9144000" cy="4609696"/>
        </a:xfrm>
        <a:prstGeom prst="rect">
          <a:avLst/>
        </a:prstGeom>
      </xdr:spPr>
    </xdr:pic>
    <xdr:clientData/>
  </xdr:twoCellAnchor>
  <xdr:twoCellAnchor editAs="oneCell">
    <xdr:from>
      <xdr:col>10</xdr:col>
      <xdr:colOff>609599</xdr:colOff>
      <xdr:row>54</xdr:row>
      <xdr:rowOff>0</xdr:rowOff>
    </xdr:from>
    <xdr:to>
      <xdr:col>18</xdr:col>
      <xdr:colOff>304799</xdr:colOff>
      <xdr:row>67</xdr:row>
      <xdr:rowOff>43766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5CD66E5-B573-3C9D-4673-2F594603E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63199" y="10002982"/>
          <a:ext cx="4572000" cy="2385184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69</xdr:row>
      <xdr:rowOff>0</xdr:rowOff>
    </xdr:from>
    <xdr:to>
      <xdr:col>18</xdr:col>
      <xdr:colOff>304800</xdr:colOff>
      <xdr:row>82</xdr:row>
      <xdr:rowOff>1408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B48CB4A-29FD-DB5A-9CA0-56436BBAE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63200" y="12877800"/>
          <a:ext cx="4572000" cy="2371814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83</xdr:row>
      <xdr:rowOff>0</xdr:rowOff>
    </xdr:from>
    <xdr:to>
      <xdr:col>18</xdr:col>
      <xdr:colOff>304800</xdr:colOff>
      <xdr:row>96</xdr:row>
      <xdr:rowOff>2727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BA83681-45BD-9FA9-B89A-33478476E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63200" y="15438120"/>
          <a:ext cx="4572000" cy="2376582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97</xdr:row>
      <xdr:rowOff>0</xdr:rowOff>
    </xdr:from>
    <xdr:to>
      <xdr:col>18</xdr:col>
      <xdr:colOff>304800</xdr:colOff>
      <xdr:row>110</xdr:row>
      <xdr:rowOff>2728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5CF35DB-9F7A-5242-4903-38C906911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363200" y="17998440"/>
          <a:ext cx="4572000" cy="2376582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111</xdr:row>
      <xdr:rowOff>0</xdr:rowOff>
    </xdr:from>
    <xdr:to>
      <xdr:col>18</xdr:col>
      <xdr:colOff>304800</xdr:colOff>
      <xdr:row>124</xdr:row>
      <xdr:rowOff>2728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12FCD2A-790C-A621-E731-DA401A421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363200" y="20558760"/>
          <a:ext cx="4572000" cy="2376582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125</xdr:row>
      <xdr:rowOff>0</xdr:rowOff>
    </xdr:from>
    <xdr:to>
      <xdr:col>18</xdr:col>
      <xdr:colOff>304800</xdr:colOff>
      <xdr:row>137</xdr:row>
      <xdr:rowOff>155792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9693089D-82DF-400F-8F3F-4FF771ABD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363200" y="23119080"/>
          <a:ext cx="4572000" cy="2368282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139</xdr:row>
      <xdr:rowOff>0</xdr:rowOff>
    </xdr:from>
    <xdr:to>
      <xdr:col>18</xdr:col>
      <xdr:colOff>304800</xdr:colOff>
      <xdr:row>151</xdr:row>
      <xdr:rowOff>171855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D9A19BD4-5ACC-3312-2493-E8D210E44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363200" y="25679400"/>
          <a:ext cx="4572000" cy="2378966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153</xdr:row>
      <xdr:rowOff>0</xdr:rowOff>
    </xdr:from>
    <xdr:to>
      <xdr:col>18</xdr:col>
      <xdr:colOff>304800</xdr:colOff>
      <xdr:row>165</xdr:row>
      <xdr:rowOff>162773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899BA7F3-C607-802F-BBF8-A9321CB8F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363200" y="28239720"/>
          <a:ext cx="4572000" cy="2371814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167</xdr:row>
      <xdr:rowOff>0</xdr:rowOff>
    </xdr:from>
    <xdr:to>
      <xdr:col>18</xdr:col>
      <xdr:colOff>304800</xdr:colOff>
      <xdr:row>179</xdr:row>
      <xdr:rowOff>161708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B2137B75-2271-0140-0EAC-9E4876517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363200" y="30800040"/>
          <a:ext cx="4572000" cy="237419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181</xdr:row>
      <xdr:rowOff>1</xdr:rowOff>
    </xdr:from>
    <xdr:to>
      <xdr:col>18</xdr:col>
      <xdr:colOff>304800</xdr:colOff>
      <xdr:row>193</xdr:row>
      <xdr:rowOff>172487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13383BA0-17B0-28C6-B914-887F72ABE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363200" y="33360361"/>
          <a:ext cx="4572000" cy="2367047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195</xdr:row>
      <xdr:rowOff>1</xdr:rowOff>
    </xdr:from>
    <xdr:to>
      <xdr:col>18</xdr:col>
      <xdr:colOff>304800</xdr:colOff>
      <xdr:row>207</xdr:row>
      <xdr:rowOff>172489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19FEC431-D61E-5EDD-5483-24A70A0E4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363200" y="35920681"/>
          <a:ext cx="4572000" cy="23670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51</xdr:row>
      <xdr:rowOff>70756</xdr:rowOff>
    </xdr:from>
    <xdr:to>
      <xdr:col>9</xdr:col>
      <xdr:colOff>756557</xdr:colOff>
      <xdr:row>75</xdr:row>
      <xdr:rowOff>0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A6D7504F-8CE1-65F6-322C-0F924D05D1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27</xdr:col>
      <xdr:colOff>0</xdr:colOff>
      <xdr:row>27</xdr:row>
      <xdr:rowOff>0</xdr:rowOff>
    </xdr:from>
    <xdr:to>
      <xdr:col>41</xdr:col>
      <xdr:colOff>560552</xdr:colOff>
      <xdr:row>52</xdr:row>
      <xdr:rowOff>31711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5638719-C318-459D-C437-FAA5970CC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7893862" y="5246414"/>
          <a:ext cx="9144000" cy="463874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9</xdr:col>
      <xdr:colOff>756557</xdr:colOff>
      <xdr:row>100</xdr:row>
      <xdr:rowOff>108538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554E315D-737B-4A4B-A85D-6E1CEE9F07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102</xdr:row>
      <xdr:rowOff>0</xdr:rowOff>
    </xdr:from>
    <xdr:to>
      <xdr:col>9</xdr:col>
      <xdr:colOff>756557</xdr:colOff>
      <xdr:row>125</xdr:row>
      <xdr:rowOff>108538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8ECB5753-7FB8-4DFC-9E36-3E082B3531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27</xdr:col>
      <xdr:colOff>0</xdr:colOff>
      <xdr:row>54</xdr:row>
      <xdr:rowOff>1</xdr:rowOff>
    </xdr:from>
    <xdr:to>
      <xdr:col>34</xdr:col>
      <xdr:colOff>304800</xdr:colOff>
      <xdr:row>66</xdr:row>
      <xdr:rowOff>121355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837AC49-3AE5-6640-3774-A1060CFA2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7830800" y="9977719"/>
          <a:ext cx="4572000" cy="2272883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68</xdr:row>
      <xdr:rowOff>170329</xdr:rowOff>
    </xdr:from>
    <xdr:to>
      <xdr:col>34</xdr:col>
      <xdr:colOff>304800</xdr:colOff>
      <xdr:row>82</xdr:row>
      <xdr:rowOff>883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FDCACD43-C89D-5D76-2670-A989ADA24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7830800" y="12658164"/>
          <a:ext cx="4572000" cy="2337224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83</xdr:row>
      <xdr:rowOff>0</xdr:rowOff>
    </xdr:from>
    <xdr:to>
      <xdr:col>34</xdr:col>
      <xdr:colOff>304800</xdr:colOff>
      <xdr:row>96</xdr:row>
      <xdr:rowOff>514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D464FE1-9C1A-923A-444F-652733D6B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7830800" y="15177247"/>
          <a:ext cx="4572000" cy="2331338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97</xdr:row>
      <xdr:rowOff>0</xdr:rowOff>
    </xdr:from>
    <xdr:to>
      <xdr:col>34</xdr:col>
      <xdr:colOff>304800</xdr:colOff>
      <xdr:row>110</xdr:row>
      <xdr:rowOff>318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86D5E8CB-5A04-5201-1FA2-C389C5BC6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7830800" y="17687365"/>
          <a:ext cx="4572000" cy="2327694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111</xdr:row>
      <xdr:rowOff>0</xdr:rowOff>
    </xdr:from>
    <xdr:to>
      <xdr:col>34</xdr:col>
      <xdr:colOff>304800</xdr:colOff>
      <xdr:row>124</xdr:row>
      <xdr:rowOff>4017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1BC1BA6B-D65B-75D3-0C36-FBC183E5B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7830800" y="20197482"/>
          <a:ext cx="4572000" cy="2334841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125</xdr:row>
      <xdr:rowOff>0</xdr:rowOff>
    </xdr:from>
    <xdr:to>
      <xdr:col>34</xdr:col>
      <xdr:colOff>304800</xdr:colOff>
      <xdr:row>137</xdr:row>
      <xdr:rowOff>160617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6D8619EA-6ADC-17CE-5D22-5F5DBB2B1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7830800" y="22707600"/>
          <a:ext cx="4572000" cy="2330076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139</xdr:row>
      <xdr:rowOff>0</xdr:rowOff>
    </xdr:from>
    <xdr:to>
      <xdr:col>34</xdr:col>
      <xdr:colOff>304800</xdr:colOff>
      <xdr:row>151</xdr:row>
      <xdr:rowOff>162435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9FD8ADC7-E7FA-F3CA-1E3F-7C319E311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7830800" y="25235647"/>
          <a:ext cx="4572000" cy="2322929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153</xdr:row>
      <xdr:rowOff>1</xdr:rowOff>
    </xdr:from>
    <xdr:to>
      <xdr:col>34</xdr:col>
      <xdr:colOff>304800</xdr:colOff>
      <xdr:row>165</xdr:row>
      <xdr:rowOff>165383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2D3B5D5-B58A-D90E-2A2C-44F6C8CF9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7830800" y="27772660"/>
          <a:ext cx="4572000" cy="2334841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167</xdr:row>
      <xdr:rowOff>0</xdr:rowOff>
    </xdr:from>
    <xdr:to>
      <xdr:col>34</xdr:col>
      <xdr:colOff>304800</xdr:colOff>
      <xdr:row>179</xdr:row>
      <xdr:rowOff>167765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EB11C7F5-6A4F-9553-49A4-4C205556C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7830800" y="30282776"/>
          <a:ext cx="4572000" cy="2337224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181</xdr:row>
      <xdr:rowOff>1</xdr:rowOff>
    </xdr:from>
    <xdr:to>
      <xdr:col>34</xdr:col>
      <xdr:colOff>304800</xdr:colOff>
      <xdr:row>193</xdr:row>
      <xdr:rowOff>173782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F0E82D-FC15-0A22-9929-17FCC1532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7830800" y="32792895"/>
          <a:ext cx="4572000" cy="2325311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195</xdr:row>
      <xdr:rowOff>0</xdr:rowOff>
    </xdr:from>
    <xdr:to>
      <xdr:col>34</xdr:col>
      <xdr:colOff>304800</xdr:colOff>
      <xdr:row>208</xdr:row>
      <xdr:rowOff>6401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80095880-5534-D342-E60A-001CAF67E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7830800" y="35303012"/>
          <a:ext cx="4572000" cy="2337224"/>
        </a:xfrm>
        <a:prstGeom prst="rect">
          <a:avLst/>
        </a:prstGeom>
      </xdr:spPr>
    </xdr:pic>
    <xdr:clientData/>
  </xdr:twoCellAnchor>
  <xdr:twoCellAnchor editAs="oneCell">
    <xdr:from>
      <xdr:col>3</xdr:col>
      <xdr:colOff>439271</xdr:colOff>
      <xdr:row>141</xdr:row>
      <xdr:rowOff>161363</xdr:rowOff>
    </xdr:from>
    <xdr:to>
      <xdr:col>6</xdr:col>
      <xdr:colOff>457200</xdr:colOff>
      <xdr:row>152</xdr:row>
      <xdr:rowOff>88055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BCD91B1F-3F15-304D-C8EF-8A4BA6718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572871" y="25764563"/>
          <a:ext cx="2662517" cy="1898927"/>
        </a:xfrm>
        <a:prstGeom prst="rect">
          <a:avLst/>
        </a:prstGeom>
      </xdr:spPr>
    </xdr:pic>
    <xdr:clientData/>
  </xdr:twoCellAnchor>
  <xdr:twoCellAnchor editAs="oneCell">
    <xdr:from>
      <xdr:col>11</xdr:col>
      <xdr:colOff>30480</xdr:colOff>
      <xdr:row>2</xdr:row>
      <xdr:rowOff>15240</xdr:rowOff>
    </xdr:from>
    <xdr:to>
      <xdr:col>26</xdr:col>
      <xdr:colOff>30480</xdr:colOff>
      <xdr:row>26</xdr:row>
      <xdr:rowOff>27712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42B629B7-5CBB-0C05-9B09-3C1867FD9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8595360" y="441960"/>
          <a:ext cx="9144000" cy="4614952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2</xdr:row>
      <xdr:rowOff>0</xdr:rowOff>
    </xdr:from>
    <xdr:to>
      <xdr:col>42</xdr:col>
      <xdr:colOff>0</xdr:colOff>
      <xdr:row>25</xdr:row>
      <xdr:rowOff>161300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FEE48F-B5DC-F90C-2438-15C462955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8320657" y="435429"/>
          <a:ext cx="9144000" cy="46244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420413</xdr:colOff>
      <xdr:row>4</xdr:row>
      <xdr:rowOff>46244</xdr:rowOff>
    </xdr:from>
    <xdr:to>
      <xdr:col>4</xdr:col>
      <xdr:colOff>550218</xdr:colOff>
      <xdr:row>7</xdr:row>
      <xdr:rowOff>131379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727308-33E7-1A68-B235-7CDAAF412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13" y="827294"/>
          <a:ext cx="2333036" cy="628059"/>
        </a:xfrm>
        <a:prstGeom prst="rect">
          <a:avLst/>
        </a:prstGeom>
      </xdr:spPr>
    </xdr:pic>
    <xdr:clientData/>
  </xdr:twoCellAnchor>
  <xdr:twoCellAnchor editAs="oneCell">
    <xdr:from>
      <xdr:col>2</xdr:col>
      <xdr:colOff>56908</xdr:colOff>
      <xdr:row>36</xdr:row>
      <xdr:rowOff>26127</xdr:rowOff>
    </xdr:from>
    <xdr:to>
      <xdr:col>3</xdr:col>
      <xdr:colOff>313509</xdr:colOff>
      <xdr:row>37</xdr:row>
      <xdr:rowOff>169451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30DA47-853D-4634-F7A7-3BA5EC9330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36743" b="27197"/>
        <a:stretch/>
      </xdr:blipFill>
      <xdr:spPr>
        <a:xfrm>
          <a:off x="1276108" y="3653247"/>
          <a:ext cx="866201" cy="326205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42</xdr:row>
      <xdr:rowOff>9524</xdr:rowOff>
    </xdr:from>
    <xdr:to>
      <xdr:col>5</xdr:col>
      <xdr:colOff>192307</xdr:colOff>
      <xdr:row>43</xdr:row>
      <xdr:rowOff>18594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FC6ABB2-41FE-0325-793A-462DD1753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3425" y="6919912"/>
          <a:ext cx="2881313" cy="190044"/>
        </a:xfrm>
        <a:prstGeom prst="rect">
          <a:avLst/>
        </a:prstGeom>
      </xdr:spPr>
    </xdr:pic>
    <xdr:clientData/>
  </xdr:twoCellAnchor>
  <xdr:twoCellAnchor editAs="oneCell">
    <xdr:from>
      <xdr:col>1</xdr:col>
      <xdr:colOff>412474</xdr:colOff>
      <xdr:row>45</xdr:row>
      <xdr:rowOff>156537</xdr:rowOff>
    </xdr:from>
    <xdr:to>
      <xdr:col>4</xdr:col>
      <xdr:colOff>604573</xdr:colOff>
      <xdr:row>48</xdr:row>
      <xdr:rowOff>37146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C728336-808E-8A45-C920-5C2EEB279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22074" y="7647950"/>
          <a:ext cx="2395330" cy="423534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49</xdr:row>
      <xdr:rowOff>32262</xdr:rowOff>
    </xdr:from>
    <xdr:to>
      <xdr:col>5</xdr:col>
      <xdr:colOff>53823</xdr:colOff>
      <xdr:row>49</xdr:row>
      <xdr:rowOff>173736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81E4F0F-147B-8526-3C10-2632C7C73B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29285" b="20873"/>
        <a:stretch/>
      </xdr:blipFill>
      <xdr:spPr>
        <a:xfrm>
          <a:off x="1295400" y="8341110"/>
          <a:ext cx="2182378" cy="141474"/>
        </a:xfrm>
        <a:prstGeom prst="rect">
          <a:avLst/>
        </a:prstGeom>
      </xdr:spPr>
    </xdr:pic>
    <xdr:clientData/>
  </xdr:twoCellAnchor>
  <xdr:twoCellAnchor editAs="oneCell">
    <xdr:from>
      <xdr:col>2</xdr:col>
      <xdr:colOff>45719</xdr:colOff>
      <xdr:row>50</xdr:row>
      <xdr:rowOff>36576</xdr:rowOff>
    </xdr:from>
    <xdr:to>
      <xdr:col>5</xdr:col>
      <xdr:colOff>9425</xdr:colOff>
      <xdr:row>50</xdr:row>
      <xdr:rowOff>154434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C825222-344E-537E-B7E0-883ECA739E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5205" t="4476"/>
        <a:stretch/>
      </xdr:blipFill>
      <xdr:spPr>
        <a:xfrm>
          <a:off x="1264919" y="8528304"/>
          <a:ext cx="2168461" cy="117858"/>
        </a:xfrm>
        <a:prstGeom prst="rect">
          <a:avLst/>
        </a:prstGeom>
      </xdr:spPr>
    </xdr:pic>
    <xdr:clientData/>
  </xdr:twoCellAnchor>
  <xdr:twoCellAnchor editAs="oneCell">
    <xdr:from>
      <xdr:col>2</xdr:col>
      <xdr:colOff>27730</xdr:colOff>
      <xdr:row>59</xdr:row>
      <xdr:rowOff>19322</xdr:rowOff>
    </xdr:from>
    <xdr:to>
      <xdr:col>3</xdr:col>
      <xdr:colOff>933768</xdr:colOff>
      <xdr:row>60</xdr:row>
      <xdr:rowOff>10471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A9FF61B-5120-62FF-947B-0B5608C812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25543"/>
        <a:stretch/>
      </xdr:blipFill>
      <xdr:spPr>
        <a:xfrm>
          <a:off x="1246930" y="10178167"/>
          <a:ext cx="1516952" cy="174723"/>
        </a:xfrm>
        <a:prstGeom prst="rect">
          <a:avLst/>
        </a:prstGeom>
      </xdr:spPr>
    </xdr:pic>
    <xdr:clientData/>
  </xdr:twoCellAnchor>
  <xdr:twoCellAnchor editAs="oneCell">
    <xdr:from>
      <xdr:col>2</xdr:col>
      <xdr:colOff>4711</xdr:colOff>
      <xdr:row>60</xdr:row>
      <xdr:rowOff>14686</xdr:rowOff>
    </xdr:from>
    <xdr:to>
      <xdr:col>4</xdr:col>
      <xdr:colOff>387217</xdr:colOff>
      <xdr:row>60</xdr:row>
      <xdr:rowOff>109477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EC8BB0D2-4658-45AF-1444-3D13B966A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23911" y="10335214"/>
          <a:ext cx="1977661" cy="94791"/>
        </a:xfrm>
        <a:prstGeom prst="rect">
          <a:avLst/>
        </a:prstGeom>
      </xdr:spPr>
    </xdr:pic>
    <xdr:clientData/>
  </xdr:twoCellAnchor>
  <xdr:twoCellAnchor editAs="oneCell">
    <xdr:from>
      <xdr:col>2</xdr:col>
      <xdr:colOff>28074</xdr:colOff>
      <xdr:row>63</xdr:row>
      <xdr:rowOff>38931</xdr:rowOff>
    </xdr:from>
    <xdr:to>
      <xdr:col>5</xdr:col>
      <xdr:colOff>8226</xdr:colOff>
      <xdr:row>63</xdr:row>
      <xdr:rowOff>150254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783251FB-2689-FC40-814D-73A5F3330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47274" y="10855614"/>
          <a:ext cx="2182454" cy="111323"/>
        </a:xfrm>
        <a:prstGeom prst="rect">
          <a:avLst/>
        </a:prstGeom>
      </xdr:spPr>
    </xdr:pic>
    <xdr:clientData/>
  </xdr:twoCellAnchor>
  <xdr:twoCellAnchor editAs="oneCell">
    <xdr:from>
      <xdr:col>2</xdr:col>
      <xdr:colOff>23813</xdr:colOff>
      <xdr:row>66</xdr:row>
      <xdr:rowOff>42863</xdr:rowOff>
    </xdr:from>
    <xdr:to>
      <xdr:col>5</xdr:col>
      <xdr:colOff>2147</xdr:colOff>
      <xdr:row>67</xdr:row>
      <xdr:rowOff>111369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E4226281-DE9D-FE82-F26C-55CC0A615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43013" y="11414248"/>
          <a:ext cx="2184496" cy="250214"/>
        </a:xfrm>
        <a:prstGeom prst="rect">
          <a:avLst/>
        </a:prstGeom>
      </xdr:spPr>
    </xdr:pic>
    <xdr:clientData/>
  </xdr:twoCellAnchor>
  <xdr:twoCellAnchor editAs="oneCell">
    <xdr:from>
      <xdr:col>2</xdr:col>
      <xdr:colOff>4763</xdr:colOff>
      <xdr:row>68</xdr:row>
      <xdr:rowOff>52116</xdr:rowOff>
    </xdr:from>
    <xdr:to>
      <xdr:col>5</xdr:col>
      <xdr:colOff>268014</xdr:colOff>
      <xdr:row>68</xdr:row>
      <xdr:rowOff>137175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EB02EA9-7A77-9AEE-CE7A-93FA3CB75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23963" y="11881509"/>
          <a:ext cx="2465168" cy="85059"/>
        </a:xfrm>
        <a:prstGeom prst="rect">
          <a:avLst/>
        </a:prstGeom>
      </xdr:spPr>
    </xdr:pic>
    <xdr:clientData/>
  </xdr:twoCellAnchor>
  <xdr:oneCellAnchor>
    <xdr:from>
      <xdr:col>9</xdr:col>
      <xdr:colOff>420413</xdr:colOff>
      <xdr:row>4</xdr:row>
      <xdr:rowOff>46244</xdr:rowOff>
    </xdr:from>
    <xdr:ext cx="2338479" cy="640305"/>
    <xdr:pic>
      <xdr:nvPicPr>
        <xdr:cNvPr id="17" name="Picture 16">
          <a:extLst>
            <a:ext uri="{FF2B5EF4-FFF2-40B4-BE49-F238E27FC236}">
              <a16:creationId xmlns:a16="http://schemas.microsoft.com/office/drawing/2014/main" id="{52EC9FCE-E268-4B08-9199-616E117E5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13" y="851787"/>
          <a:ext cx="2338479" cy="640305"/>
        </a:xfrm>
        <a:prstGeom prst="rect">
          <a:avLst/>
        </a:prstGeom>
      </xdr:spPr>
    </xdr:pic>
    <xdr:clientData/>
  </xdr:oneCellAnchor>
  <xdr:oneCellAnchor>
    <xdr:from>
      <xdr:col>10</xdr:col>
      <xdr:colOff>56908</xdr:colOff>
      <xdr:row>36</xdr:row>
      <xdr:rowOff>26127</xdr:rowOff>
    </xdr:from>
    <xdr:ext cx="866201" cy="328381"/>
    <xdr:pic>
      <xdr:nvPicPr>
        <xdr:cNvPr id="18" name="Picture 17">
          <a:extLst>
            <a:ext uri="{FF2B5EF4-FFF2-40B4-BE49-F238E27FC236}">
              <a16:creationId xmlns:a16="http://schemas.microsoft.com/office/drawing/2014/main" id="{26F93675-2E33-4FF0-BBFE-99000E0E5C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36743" b="27197"/>
        <a:stretch/>
      </xdr:blipFill>
      <xdr:spPr>
        <a:xfrm>
          <a:off x="1276108" y="6949441"/>
          <a:ext cx="866201" cy="328381"/>
        </a:xfrm>
        <a:prstGeom prst="rect">
          <a:avLst/>
        </a:prstGeom>
      </xdr:spPr>
    </xdr:pic>
    <xdr:clientData/>
  </xdr:oneCellAnchor>
  <xdr:oneCellAnchor>
    <xdr:from>
      <xdr:col>9</xdr:col>
      <xdr:colOff>123825</xdr:colOff>
      <xdr:row>42</xdr:row>
      <xdr:rowOff>9524</xdr:rowOff>
    </xdr:from>
    <xdr:ext cx="2886756" cy="194127"/>
    <xdr:pic>
      <xdr:nvPicPr>
        <xdr:cNvPr id="19" name="Picture 18">
          <a:extLst>
            <a:ext uri="{FF2B5EF4-FFF2-40B4-BE49-F238E27FC236}">
              <a16:creationId xmlns:a16="http://schemas.microsoft.com/office/drawing/2014/main" id="{DD3E67C9-7A5E-4E37-97FB-839DF259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3425" y="8054067"/>
          <a:ext cx="2886756" cy="194127"/>
        </a:xfrm>
        <a:prstGeom prst="rect">
          <a:avLst/>
        </a:prstGeom>
      </xdr:spPr>
    </xdr:pic>
    <xdr:clientData/>
  </xdr:oneCellAnchor>
  <xdr:oneCellAnchor>
    <xdr:from>
      <xdr:col>9</xdr:col>
      <xdr:colOff>412474</xdr:colOff>
      <xdr:row>45</xdr:row>
      <xdr:rowOff>156537</xdr:rowOff>
    </xdr:from>
    <xdr:ext cx="2400773" cy="435780"/>
    <xdr:pic>
      <xdr:nvPicPr>
        <xdr:cNvPr id="20" name="Picture 19">
          <a:extLst>
            <a:ext uri="{FF2B5EF4-FFF2-40B4-BE49-F238E27FC236}">
              <a16:creationId xmlns:a16="http://schemas.microsoft.com/office/drawing/2014/main" id="{C534124E-5F85-4FDA-85E4-D99C2277F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22074" y="8767137"/>
          <a:ext cx="2400773" cy="435780"/>
        </a:xfrm>
        <a:prstGeom prst="rect">
          <a:avLst/>
        </a:prstGeom>
      </xdr:spPr>
    </xdr:pic>
    <xdr:clientData/>
  </xdr:oneCellAnchor>
  <xdr:oneCellAnchor>
    <xdr:from>
      <xdr:col>10</xdr:col>
      <xdr:colOff>76200</xdr:colOff>
      <xdr:row>49</xdr:row>
      <xdr:rowOff>32262</xdr:rowOff>
    </xdr:from>
    <xdr:ext cx="2186297" cy="141474"/>
    <xdr:pic>
      <xdr:nvPicPr>
        <xdr:cNvPr id="21" name="Picture 20">
          <a:extLst>
            <a:ext uri="{FF2B5EF4-FFF2-40B4-BE49-F238E27FC236}">
              <a16:creationId xmlns:a16="http://schemas.microsoft.com/office/drawing/2014/main" id="{B3F8C862-7C8A-4623-8D32-094CE3E77F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29285" b="20873"/>
        <a:stretch/>
      </xdr:blipFill>
      <xdr:spPr>
        <a:xfrm>
          <a:off x="1295400" y="9383091"/>
          <a:ext cx="2186297" cy="141474"/>
        </a:xfrm>
        <a:prstGeom prst="rect">
          <a:avLst/>
        </a:prstGeom>
      </xdr:spPr>
    </xdr:pic>
    <xdr:clientData/>
  </xdr:oneCellAnchor>
  <xdr:oneCellAnchor>
    <xdr:from>
      <xdr:col>10</xdr:col>
      <xdr:colOff>27730</xdr:colOff>
      <xdr:row>59</xdr:row>
      <xdr:rowOff>19322</xdr:rowOff>
    </xdr:from>
    <xdr:ext cx="1522395" cy="176206"/>
    <xdr:pic>
      <xdr:nvPicPr>
        <xdr:cNvPr id="23" name="Picture 22">
          <a:extLst>
            <a:ext uri="{FF2B5EF4-FFF2-40B4-BE49-F238E27FC236}">
              <a16:creationId xmlns:a16="http://schemas.microsoft.com/office/drawing/2014/main" id="{753765A6-A92E-471E-8E22-4C16CB89C3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25543"/>
        <a:stretch/>
      </xdr:blipFill>
      <xdr:spPr>
        <a:xfrm>
          <a:off x="1246930" y="11220722"/>
          <a:ext cx="1522395" cy="176206"/>
        </a:xfrm>
        <a:prstGeom prst="rect">
          <a:avLst/>
        </a:prstGeom>
      </xdr:spPr>
    </xdr:pic>
    <xdr:clientData/>
  </xdr:oneCellAnchor>
  <xdr:oneCellAnchor>
    <xdr:from>
      <xdr:col>10</xdr:col>
      <xdr:colOff>4711</xdr:colOff>
      <xdr:row>60</xdr:row>
      <xdr:rowOff>14686</xdr:rowOff>
    </xdr:from>
    <xdr:ext cx="1981580" cy="94791"/>
    <xdr:pic>
      <xdr:nvPicPr>
        <xdr:cNvPr id="24" name="Picture 23">
          <a:extLst>
            <a:ext uri="{FF2B5EF4-FFF2-40B4-BE49-F238E27FC236}">
              <a16:creationId xmlns:a16="http://schemas.microsoft.com/office/drawing/2014/main" id="{95579201-91C2-4C15-9A3A-B72A1AFFD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23911" y="11401143"/>
          <a:ext cx="1981580" cy="94791"/>
        </a:xfrm>
        <a:prstGeom prst="rect">
          <a:avLst/>
        </a:prstGeom>
      </xdr:spPr>
    </xdr:pic>
    <xdr:clientData/>
  </xdr:oneCellAnchor>
  <xdr:oneCellAnchor>
    <xdr:from>
      <xdr:col>10</xdr:col>
      <xdr:colOff>28074</xdr:colOff>
      <xdr:row>63</xdr:row>
      <xdr:rowOff>38931</xdr:rowOff>
    </xdr:from>
    <xdr:ext cx="2188826" cy="111323"/>
    <xdr:pic>
      <xdr:nvPicPr>
        <xdr:cNvPr id="25" name="Picture 24">
          <a:extLst>
            <a:ext uri="{FF2B5EF4-FFF2-40B4-BE49-F238E27FC236}">
              <a16:creationId xmlns:a16="http://schemas.microsoft.com/office/drawing/2014/main" id="{90A0B1C9-E91C-42C0-9A6B-43C971529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47274" y="11980560"/>
          <a:ext cx="2188826" cy="111323"/>
        </a:xfrm>
        <a:prstGeom prst="rect">
          <a:avLst/>
        </a:prstGeom>
      </xdr:spPr>
    </xdr:pic>
    <xdr:clientData/>
  </xdr:oneCellAnchor>
  <xdr:oneCellAnchor>
    <xdr:from>
      <xdr:col>10</xdr:col>
      <xdr:colOff>23813</xdr:colOff>
      <xdr:row>66</xdr:row>
      <xdr:rowOff>42863</xdr:rowOff>
    </xdr:from>
    <xdr:ext cx="2187008" cy="253563"/>
    <xdr:pic>
      <xdr:nvPicPr>
        <xdr:cNvPr id="26" name="Picture 25">
          <a:extLst>
            <a:ext uri="{FF2B5EF4-FFF2-40B4-BE49-F238E27FC236}">
              <a16:creationId xmlns:a16="http://schemas.microsoft.com/office/drawing/2014/main" id="{28352736-5DA2-4FF4-9584-3769A80B4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43013" y="12539663"/>
          <a:ext cx="2187008" cy="253563"/>
        </a:xfrm>
        <a:prstGeom prst="rect">
          <a:avLst/>
        </a:prstGeom>
      </xdr:spPr>
    </xdr:pic>
    <xdr:clientData/>
  </xdr:oneCellAnchor>
  <xdr:oneCellAnchor>
    <xdr:from>
      <xdr:col>10</xdr:col>
      <xdr:colOff>4763</xdr:colOff>
      <xdr:row>68</xdr:row>
      <xdr:rowOff>52116</xdr:rowOff>
    </xdr:from>
    <xdr:ext cx="2471925" cy="85059"/>
    <xdr:pic>
      <xdr:nvPicPr>
        <xdr:cNvPr id="27" name="Picture 26">
          <a:extLst>
            <a:ext uri="{FF2B5EF4-FFF2-40B4-BE49-F238E27FC236}">
              <a16:creationId xmlns:a16="http://schemas.microsoft.com/office/drawing/2014/main" id="{C1090FAB-E5FB-4EE1-9379-6E8DA367A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23963" y="12919030"/>
          <a:ext cx="2471925" cy="85059"/>
        </a:xfrm>
        <a:prstGeom prst="rect">
          <a:avLst/>
        </a:prstGeom>
      </xdr:spPr>
    </xdr:pic>
    <xdr:clientData/>
  </xdr:oneCellAnchor>
  <xdr:twoCellAnchor editAs="oneCell">
    <xdr:from>
      <xdr:col>10</xdr:col>
      <xdr:colOff>47297</xdr:colOff>
      <xdr:row>50</xdr:row>
      <xdr:rowOff>56207</xdr:rowOff>
    </xdr:from>
    <xdr:to>
      <xdr:col>12</xdr:col>
      <xdr:colOff>482561</xdr:colOff>
      <xdr:row>50</xdr:row>
      <xdr:rowOff>169638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1CA2E46-0997-224D-10D3-6364B5EC4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335454" y="9948955"/>
          <a:ext cx="2285085" cy="1134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76200</xdr:colOff>
      <xdr:row>3</xdr:row>
      <xdr:rowOff>30480</xdr:rowOff>
    </xdr:from>
    <xdr:to>
      <xdr:col>18</xdr:col>
      <xdr:colOff>598005</xdr:colOff>
      <xdr:row>3</xdr:row>
      <xdr:rowOff>373060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0BEEC1-7866-61BA-44A8-E6E7F269B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65820" y="594360"/>
          <a:ext cx="1714500" cy="337279"/>
        </a:xfrm>
        <a:prstGeom prst="rect">
          <a:avLst/>
        </a:prstGeom>
      </xdr:spPr>
    </xdr:pic>
    <xdr:clientData/>
  </xdr:twoCellAnchor>
  <xdr:twoCellAnchor editAs="oneCell">
    <xdr:from>
      <xdr:col>16</xdr:col>
      <xdr:colOff>33131</xdr:colOff>
      <xdr:row>21</xdr:row>
      <xdr:rowOff>39756</xdr:rowOff>
    </xdr:from>
    <xdr:to>
      <xdr:col>18</xdr:col>
      <xdr:colOff>693619</xdr:colOff>
      <xdr:row>23</xdr:row>
      <xdr:rowOff>9541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A033584-F97D-E079-0B74-18FA5CAFD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79566" y="3796747"/>
          <a:ext cx="1853183" cy="347472"/>
        </a:xfrm>
        <a:prstGeom prst="rect">
          <a:avLst/>
        </a:prstGeom>
      </xdr:spPr>
    </xdr:pic>
    <xdr:clientData/>
  </xdr:twoCellAnchor>
  <xdr:twoCellAnchor editAs="oneCell">
    <xdr:from>
      <xdr:col>15</xdr:col>
      <xdr:colOff>298174</xdr:colOff>
      <xdr:row>38</xdr:row>
      <xdr:rowOff>112643</xdr:rowOff>
    </xdr:from>
    <xdr:to>
      <xdr:col>19</xdr:col>
      <xdr:colOff>39768</xdr:colOff>
      <xdr:row>40</xdr:row>
      <xdr:rowOff>89054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2656958-06DC-EB84-F2FE-F09E041C1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79565" y="7050156"/>
          <a:ext cx="2160116" cy="347472"/>
        </a:xfrm>
        <a:prstGeom prst="rect">
          <a:avLst/>
        </a:prstGeom>
      </xdr:spPr>
    </xdr:pic>
    <xdr:clientData/>
  </xdr:twoCellAnchor>
  <xdr:twoCellAnchor editAs="oneCell">
    <xdr:from>
      <xdr:col>16</xdr:col>
      <xdr:colOff>79513</xdr:colOff>
      <xdr:row>55</xdr:row>
      <xdr:rowOff>72887</xdr:rowOff>
    </xdr:from>
    <xdr:to>
      <xdr:col>18</xdr:col>
      <xdr:colOff>654811</xdr:colOff>
      <xdr:row>57</xdr:row>
      <xdr:rowOff>136204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D7EC6D70-62CE-D130-70D8-9130F46B8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84974" y="10190922"/>
          <a:ext cx="1767993" cy="434378"/>
        </a:xfrm>
        <a:prstGeom prst="rect">
          <a:avLst/>
        </a:prstGeom>
      </xdr:spPr>
    </xdr:pic>
    <xdr:clientData/>
  </xdr:twoCellAnchor>
  <xdr:twoCellAnchor editAs="oneCell">
    <xdr:from>
      <xdr:col>16</xdr:col>
      <xdr:colOff>99392</xdr:colOff>
      <xdr:row>90</xdr:row>
      <xdr:rowOff>13252</xdr:rowOff>
    </xdr:from>
    <xdr:to>
      <xdr:col>18</xdr:col>
      <xdr:colOff>758517</xdr:colOff>
      <xdr:row>92</xdr:row>
      <xdr:rowOff>145156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458CBF4A-83CE-A8C2-9E54-07F5434C8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004853" y="17632017"/>
          <a:ext cx="1851820" cy="502964"/>
        </a:xfrm>
        <a:prstGeom prst="rect">
          <a:avLst/>
        </a:prstGeom>
      </xdr:spPr>
    </xdr:pic>
    <xdr:clientData/>
  </xdr:twoCellAnchor>
  <xdr:oneCellAnchor>
    <xdr:from>
      <xdr:col>23</xdr:col>
      <xdr:colOff>76200</xdr:colOff>
      <xdr:row>3</xdr:row>
      <xdr:rowOff>30480</xdr:rowOff>
    </xdr:from>
    <xdr:ext cx="1714500" cy="342580"/>
    <xdr:pic>
      <xdr:nvPicPr>
        <xdr:cNvPr id="4" name="Picture 3">
          <a:extLst>
            <a:ext uri="{FF2B5EF4-FFF2-40B4-BE49-F238E27FC236}">
              <a16:creationId xmlns:a16="http://schemas.microsoft.com/office/drawing/2014/main" id="{C36DA5DB-DDE9-4D24-AA4F-F7A7D028D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29870" y="600323"/>
          <a:ext cx="1714500" cy="342580"/>
        </a:xfrm>
        <a:prstGeom prst="rect">
          <a:avLst/>
        </a:prstGeom>
      </xdr:spPr>
    </xdr:pic>
    <xdr:clientData/>
  </xdr:oneCellAnchor>
  <xdr:oneCellAnchor>
    <xdr:from>
      <xdr:col>23</xdr:col>
      <xdr:colOff>33131</xdr:colOff>
      <xdr:row>21</xdr:row>
      <xdr:rowOff>39756</xdr:rowOff>
    </xdr:from>
    <xdr:ext cx="1853183" cy="347472"/>
    <xdr:pic>
      <xdr:nvPicPr>
        <xdr:cNvPr id="6" name="Picture 5">
          <a:extLst>
            <a:ext uri="{FF2B5EF4-FFF2-40B4-BE49-F238E27FC236}">
              <a16:creationId xmlns:a16="http://schemas.microsoft.com/office/drawing/2014/main" id="{70A16666-F91D-4FB4-B068-0B695DE2C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80783" y="4028660"/>
          <a:ext cx="1853183" cy="347472"/>
        </a:xfrm>
        <a:prstGeom prst="rect">
          <a:avLst/>
        </a:prstGeom>
      </xdr:spPr>
    </xdr:pic>
    <xdr:clientData/>
  </xdr:oneCellAnchor>
  <xdr:oneCellAnchor>
    <xdr:from>
      <xdr:col>22</xdr:col>
      <xdr:colOff>298174</xdr:colOff>
      <xdr:row>38</xdr:row>
      <xdr:rowOff>112643</xdr:rowOff>
    </xdr:from>
    <xdr:ext cx="2160116" cy="347472"/>
    <xdr:pic>
      <xdr:nvPicPr>
        <xdr:cNvPr id="7" name="Picture 6">
          <a:extLst>
            <a:ext uri="{FF2B5EF4-FFF2-40B4-BE49-F238E27FC236}">
              <a16:creationId xmlns:a16="http://schemas.microsoft.com/office/drawing/2014/main" id="{1D981889-4A13-4CF5-BDC8-CF0F09E60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41026" y="7282069"/>
          <a:ext cx="2160116" cy="347472"/>
        </a:xfrm>
        <a:prstGeom prst="rect">
          <a:avLst/>
        </a:prstGeom>
      </xdr:spPr>
    </xdr:pic>
    <xdr:clientData/>
  </xdr:oneCellAnchor>
  <xdr:oneCellAnchor>
    <xdr:from>
      <xdr:col>23</xdr:col>
      <xdr:colOff>79513</xdr:colOff>
      <xdr:row>55</xdr:row>
      <xdr:rowOff>72887</xdr:rowOff>
    </xdr:from>
    <xdr:ext cx="1767993" cy="434378"/>
    <xdr:pic>
      <xdr:nvPicPr>
        <xdr:cNvPr id="8" name="Picture 7">
          <a:extLst>
            <a:ext uri="{FF2B5EF4-FFF2-40B4-BE49-F238E27FC236}">
              <a16:creationId xmlns:a16="http://schemas.microsoft.com/office/drawing/2014/main" id="{6A249213-1F66-46FD-BCB6-6E65491B6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27165" y="10422835"/>
          <a:ext cx="1767993" cy="434378"/>
        </a:xfrm>
        <a:prstGeom prst="rect">
          <a:avLst/>
        </a:prstGeom>
      </xdr:spPr>
    </xdr:pic>
    <xdr:clientData/>
  </xdr:oneCellAnchor>
  <xdr:oneCellAnchor>
    <xdr:from>
      <xdr:col>23</xdr:col>
      <xdr:colOff>99392</xdr:colOff>
      <xdr:row>90</xdr:row>
      <xdr:rowOff>13252</xdr:rowOff>
    </xdr:from>
    <xdr:ext cx="1851820" cy="502964"/>
    <xdr:pic>
      <xdr:nvPicPr>
        <xdr:cNvPr id="10" name="Picture 9">
          <a:extLst>
            <a:ext uri="{FF2B5EF4-FFF2-40B4-BE49-F238E27FC236}">
              <a16:creationId xmlns:a16="http://schemas.microsoft.com/office/drawing/2014/main" id="{4AF9D33D-284B-4F82-AA4C-26087368E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647044" y="17645269"/>
          <a:ext cx="1851820" cy="50296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190500</xdr:colOff>
      <xdr:row>4</xdr:row>
      <xdr:rowOff>30483</xdr:rowOff>
    </xdr:from>
    <xdr:to>
      <xdr:col>11</xdr:col>
      <xdr:colOff>386862</xdr:colOff>
      <xdr:row>4</xdr:row>
      <xdr:rowOff>175847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AB4F24-2F83-2C65-FE1E-5541410102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361" b="5460"/>
        <a:stretch/>
      </xdr:blipFill>
      <xdr:spPr>
        <a:xfrm>
          <a:off x="4950069" y="780760"/>
          <a:ext cx="2916116" cy="145364"/>
        </a:xfrm>
        <a:prstGeom prst="rect">
          <a:avLst/>
        </a:prstGeom>
      </xdr:spPr>
    </xdr:pic>
    <xdr:clientData/>
  </xdr:twoCellAnchor>
  <xdr:twoCellAnchor editAs="oneCell">
    <xdr:from>
      <xdr:col>7</xdr:col>
      <xdr:colOff>52754</xdr:colOff>
      <xdr:row>21</xdr:row>
      <xdr:rowOff>11723</xdr:rowOff>
    </xdr:from>
    <xdr:to>
      <xdr:col>11</xdr:col>
      <xdr:colOff>589059</xdr:colOff>
      <xdr:row>29</xdr:row>
      <xdr:rowOff>158262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80024C-3D10-BBAB-7403-04C01E59D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12323" y="4103077"/>
          <a:ext cx="3256059" cy="1600200"/>
        </a:xfrm>
        <a:prstGeom prst="rect">
          <a:avLst/>
        </a:prstGeom>
      </xdr:spPr>
    </xdr:pic>
    <xdr:clientData/>
  </xdr:twoCellAnchor>
  <xdr:twoCellAnchor editAs="oneCell">
    <xdr:from>
      <xdr:col>7</xdr:col>
      <xdr:colOff>193430</xdr:colOff>
      <xdr:row>30</xdr:row>
      <xdr:rowOff>17585</xdr:rowOff>
    </xdr:from>
    <xdr:to>
      <xdr:col>9</xdr:col>
      <xdr:colOff>457201</xdr:colOff>
      <xdr:row>31</xdr:row>
      <xdr:rowOff>38609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FEB87C2-2A07-A704-FE57-4A0460BDF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52999" y="5744308"/>
          <a:ext cx="1582617" cy="202732"/>
        </a:xfrm>
        <a:prstGeom prst="rect">
          <a:avLst/>
        </a:prstGeom>
      </xdr:spPr>
    </xdr:pic>
    <xdr:clientData/>
  </xdr:twoCellAnchor>
  <xdr:twoCellAnchor editAs="oneCell">
    <xdr:from>
      <xdr:col>7</xdr:col>
      <xdr:colOff>134816</xdr:colOff>
      <xdr:row>38</xdr:row>
      <xdr:rowOff>11723</xdr:rowOff>
    </xdr:from>
    <xdr:to>
      <xdr:col>11</xdr:col>
      <xdr:colOff>498231</xdr:colOff>
      <xdr:row>39</xdr:row>
      <xdr:rowOff>71968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7C0834D-CB54-CDF3-176E-AED0CC8B9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94385" y="7227277"/>
          <a:ext cx="3083169" cy="241953"/>
        </a:xfrm>
        <a:prstGeom prst="rect">
          <a:avLst/>
        </a:prstGeom>
      </xdr:spPr>
    </xdr:pic>
    <xdr:clientData/>
  </xdr:twoCellAnchor>
  <xdr:twoCellAnchor editAs="oneCell">
    <xdr:from>
      <xdr:col>7</xdr:col>
      <xdr:colOff>369277</xdr:colOff>
      <xdr:row>59</xdr:row>
      <xdr:rowOff>41031</xdr:rowOff>
    </xdr:from>
    <xdr:to>
      <xdr:col>10</xdr:col>
      <xdr:colOff>765132</xdr:colOff>
      <xdr:row>60</xdr:row>
      <xdr:rowOff>65082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5899A4C-E010-5794-B943-DBD5A4E78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28846" y="10984523"/>
          <a:ext cx="2324301" cy="205758"/>
        </a:xfrm>
        <a:prstGeom prst="rect">
          <a:avLst/>
        </a:prstGeom>
      </xdr:spPr>
    </xdr:pic>
    <xdr:clientData/>
  </xdr:twoCellAnchor>
  <xdr:oneCellAnchor>
    <xdr:from>
      <xdr:col>14</xdr:col>
      <xdr:colOff>190500</xdr:colOff>
      <xdr:row>4</xdr:row>
      <xdr:rowOff>30483</xdr:rowOff>
    </xdr:from>
    <xdr:ext cx="2916116" cy="145364"/>
    <xdr:pic>
      <xdr:nvPicPr>
        <xdr:cNvPr id="11" name="Picture 10">
          <a:extLst>
            <a:ext uri="{FF2B5EF4-FFF2-40B4-BE49-F238E27FC236}">
              <a16:creationId xmlns:a16="http://schemas.microsoft.com/office/drawing/2014/main" id="{C33C56F2-3F7C-4B55-92CC-8D75F158AF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361" b="5460"/>
        <a:stretch/>
      </xdr:blipFill>
      <xdr:spPr>
        <a:xfrm>
          <a:off x="4950069" y="792483"/>
          <a:ext cx="2916116" cy="145364"/>
        </a:xfrm>
        <a:prstGeom prst="rect">
          <a:avLst/>
        </a:prstGeom>
      </xdr:spPr>
    </xdr:pic>
    <xdr:clientData/>
  </xdr:oneCellAnchor>
  <xdr:oneCellAnchor>
    <xdr:from>
      <xdr:col>14</xdr:col>
      <xdr:colOff>52754</xdr:colOff>
      <xdr:row>21</xdr:row>
      <xdr:rowOff>11723</xdr:rowOff>
    </xdr:from>
    <xdr:ext cx="3256059" cy="1600200"/>
    <xdr:pic>
      <xdr:nvPicPr>
        <xdr:cNvPr id="12" name="Picture 11">
          <a:extLst>
            <a:ext uri="{FF2B5EF4-FFF2-40B4-BE49-F238E27FC236}">
              <a16:creationId xmlns:a16="http://schemas.microsoft.com/office/drawing/2014/main" id="{65041B64-CD8F-4FC4-9BEC-99EFBABDE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12323" y="4114800"/>
          <a:ext cx="3256059" cy="1600200"/>
        </a:xfrm>
        <a:prstGeom prst="rect">
          <a:avLst/>
        </a:prstGeom>
      </xdr:spPr>
    </xdr:pic>
    <xdr:clientData/>
  </xdr:oneCellAnchor>
  <xdr:oneCellAnchor>
    <xdr:from>
      <xdr:col>14</xdr:col>
      <xdr:colOff>193430</xdr:colOff>
      <xdr:row>30</xdr:row>
      <xdr:rowOff>17585</xdr:rowOff>
    </xdr:from>
    <xdr:ext cx="1582617" cy="202732"/>
    <xdr:pic>
      <xdr:nvPicPr>
        <xdr:cNvPr id="13" name="Picture 12">
          <a:extLst>
            <a:ext uri="{FF2B5EF4-FFF2-40B4-BE49-F238E27FC236}">
              <a16:creationId xmlns:a16="http://schemas.microsoft.com/office/drawing/2014/main" id="{B1A7D678-F8AE-4CBB-83FA-F2C9DB700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52999" y="5756031"/>
          <a:ext cx="1582617" cy="202732"/>
        </a:xfrm>
        <a:prstGeom prst="rect">
          <a:avLst/>
        </a:prstGeom>
      </xdr:spPr>
    </xdr:pic>
    <xdr:clientData/>
  </xdr:oneCellAnchor>
  <xdr:oneCellAnchor>
    <xdr:from>
      <xdr:col>14</xdr:col>
      <xdr:colOff>134816</xdr:colOff>
      <xdr:row>38</xdr:row>
      <xdr:rowOff>11723</xdr:rowOff>
    </xdr:from>
    <xdr:ext cx="3083169" cy="241953"/>
    <xdr:pic>
      <xdr:nvPicPr>
        <xdr:cNvPr id="14" name="Picture 13">
          <a:extLst>
            <a:ext uri="{FF2B5EF4-FFF2-40B4-BE49-F238E27FC236}">
              <a16:creationId xmlns:a16="http://schemas.microsoft.com/office/drawing/2014/main" id="{34D6D1D7-67BF-4B93-B539-51AC76441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94385" y="7239000"/>
          <a:ext cx="3083169" cy="241953"/>
        </a:xfrm>
        <a:prstGeom prst="rect">
          <a:avLst/>
        </a:prstGeom>
      </xdr:spPr>
    </xdr:pic>
    <xdr:clientData/>
  </xdr:oneCellAnchor>
  <xdr:oneCellAnchor>
    <xdr:from>
      <xdr:col>14</xdr:col>
      <xdr:colOff>190500</xdr:colOff>
      <xdr:row>59</xdr:row>
      <xdr:rowOff>30483</xdr:rowOff>
    </xdr:from>
    <xdr:ext cx="2916116" cy="145364"/>
    <xdr:pic>
      <xdr:nvPicPr>
        <xdr:cNvPr id="15" name="Picture 14">
          <a:extLst>
            <a:ext uri="{FF2B5EF4-FFF2-40B4-BE49-F238E27FC236}">
              <a16:creationId xmlns:a16="http://schemas.microsoft.com/office/drawing/2014/main" id="{40C7C369-08BC-4A9C-95A3-0E3C5A7FF8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361" b="5460"/>
        <a:stretch/>
      </xdr:blipFill>
      <xdr:spPr>
        <a:xfrm>
          <a:off x="8923683" y="792483"/>
          <a:ext cx="2916116" cy="145364"/>
        </a:xfrm>
        <a:prstGeom prst="rect">
          <a:avLst/>
        </a:prstGeom>
      </xdr:spPr>
    </xdr:pic>
    <xdr:clientData/>
  </xdr:oneCellAnchor>
  <xdr:oneCellAnchor>
    <xdr:from>
      <xdr:col>14</xdr:col>
      <xdr:colOff>52754</xdr:colOff>
      <xdr:row>76</xdr:row>
      <xdr:rowOff>11723</xdr:rowOff>
    </xdr:from>
    <xdr:ext cx="3256059" cy="1600200"/>
    <xdr:pic>
      <xdr:nvPicPr>
        <xdr:cNvPr id="16" name="Picture 15">
          <a:extLst>
            <a:ext uri="{FF2B5EF4-FFF2-40B4-BE49-F238E27FC236}">
              <a16:creationId xmlns:a16="http://schemas.microsoft.com/office/drawing/2014/main" id="{512857EB-41AB-4DA1-8F10-61F13E37D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85937" y="4146401"/>
          <a:ext cx="3256059" cy="1600200"/>
        </a:xfrm>
        <a:prstGeom prst="rect">
          <a:avLst/>
        </a:prstGeom>
      </xdr:spPr>
    </xdr:pic>
    <xdr:clientData/>
  </xdr:oneCellAnchor>
  <xdr:oneCellAnchor>
    <xdr:from>
      <xdr:col>14</xdr:col>
      <xdr:colOff>193430</xdr:colOff>
      <xdr:row>85</xdr:row>
      <xdr:rowOff>17585</xdr:rowOff>
    </xdr:from>
    <xdr:ext cx="1582617" cy="202732"/>
    <xdr:pic>
      <xdr:nvPicPr>
        <xdr:cNvPr id="17" name="Picture 16">
          <a:extLst>
            <a:ext uri="{FF2B5EF4-FFF2-40B4-BE49-F238E27FC236}">
              <a16:creationId xmlns:a16="http://schemas.microsoft.com/office/drawing/2014/main" id="{5EF987E0-4E43-44F2-9E3C-A013AC097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926613" y="5822037"/>
          <a:ext cx="1582617" cy="202732"/>
        </a:xfrm>
        <a:prstGeom prst="rect">
          <a:avLst/>
        </a:prstGeom>
      </xdr:spPr>
    </xdr:pic>
    <xdr:clientData/>
  </xdr:oneCellAnchor>
  <xdr:oneCellAnchor>
    <xdr:from>
      <xdr:col>14</xdr:col>
      <xdr:colOff>134816</xdr:colOff>
      <xdr:row>93</xdr:row>
      <xdr:rowOff>11723</xdr:rowOff>
    </xdr:from>
    <xdr:ext cx="3083169" cy="241953"/>
    <xdr:pic>
      <xdr:nvPicPr>
        <xdr:cNvPr id="18" name="Picture 17">
          <a:extLst>
            <a:ext uri="{FF2B5EF4-FFF2-40B4-BE49-F238E27FC236}">
              <a16:creationId xmlns:a16="http://schemas.microsoft.com/office/drawing/2014/main" id="{49272629-C4DD-492A-995F-36CFBFFB3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867999" y="7320297"/>
          <a:ext cx="3083169" cy="241953"/>
        </a:xfrm>
        <a:prstGeom prst="rect">
          <a:avLst/>
        </a:prstGeom>
      </xdr:spPr>
    </xdr:pic>
    <xdr:clientData/>
  </xdr:oneCellAnchor>
  <xdr:oneCellAnchor>
    <xdr:from>
      <xdr:col>14</xdr:col>
      <xdr:colOff>369277</xdr:colOff>
      <xdr:row>115</xdr:row>
      <xdr:rowOff>41031</xdr:rowOff>
    </xdr:from>
    <xdr:ext cx="2324046" cy="209581"/>
    <xdr:pic>
      <xdr:nvPicPr>
        <xdr:cNvPr id="7" name="Picture 6">
          <a:extLst>
            <a:ext uri="{FF2B5EF4-FFF2-40B4-BE49-F238E27FC236}">
              <a16:creationId xmlns:a16="http://schemas.microsoft.com/office/drawing/2014/main" id="{16CEFABF-7665-43E7-82BF-BFADF1F2E7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33434" y="11298753"/>
          <a:ext cx="2324046" cy="209581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80682</xdr:colOff>
      <xdr:row>21</xdr:row>
      <xdr:rowOff>143436</xdr:rowOff>
    </xdr:from>
    <xdr:to>
      <xdr:col>12</xdr:col>
      <xdr:colOff>2008094</xdr:colOff>
      <xdr:row>48</xdr:row>
      <xdr:rowOff>74728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9FD8AE-52DC-C971-6A78-CFE2A92A9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0282" y="4195483"/>
          <a:ext cx="9144000" cy="4772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12</xdr:col>
      <xdr:colOff>1927412</xdr:colOff>
      <xdr:row>76</xdr:row>
      <xdr:rowOff>81982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A7FA4A-57C6-6030-4396-22933A115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9242612"/>
          <a:ext cx="9144000" cy="4743629"/>
        </a:xfrm>
        <a:prstGeom prst="rect">
          <a:avLst/>
        </a:prstGeom>
      </xdr:spPr>
    </xdr:pic>
    <xdr:clientData/>
  </xdr:twoCellAnchor>
  <xdr:twoCellAnchor editAs="oneCell">
    <xdr:from>
      <xdr:col>12</xdr:col>
      <xdr:colOff>493059</xdr:colOff>
      <xdr:row>21</xdr:row>
      <xdr:rowOff>125507</xdr:rowOff>
    </xdr:from>
    <xdr:to>
      <xdr:col>22</xdr:col>
      <xdr:colOff>116541</xdr:colOff>
      <xdr:row>48</xdr:row>
      <xdr:rowOff>37729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BE00812-DA8B-D858-BC6D-CEDA8BF40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10800" y="4177554"/>
          <a:ext cx="9144000" cy="475316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358140</xdr:colOff>
      <xdr:row>3</xdr:row>
      <xdr:rowOff>91440</xdr:rowOff>
    </xdr:from>
    <xdr:to>
      <xdr:col>11</xdr:col>
      <xdr:colOff>83820</xdr:colOff>
      <xdr:row>24</xdr:row>
      <xdr:rowOff>141890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495E98E-D487-4351-82CD-BCD420BC3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344888</xdr:colOff>
      <xdr:row>26</xdr:row>
      <xdr:rowOff>31805</xdr:rowOff>
    </xdr:from>
    <xdr:to>
      <xdr:col>11</xdr:col>
      <xdr:colOff>70568</xdr:colOff>
      <xdr:row>47</xdr:row>
      <xdr:rowOff>82255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079057C-5FED-B498-E7EB-745A0BE496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358140</xdr:colOff>
      <xdr:row>3</xdr:row>
      <xdr:rowOff>91440</xdr:rowOff>
    </xdr:from>
    <xdr:to>
      <xdr:col>23</xdr:col>
      <xdr:colOff>83820</xdr:colOff>
      <xdr:row>24</xdr:row>
      <xdr:rowOff>141890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67F1C07-1C05-4EA6-87C7-8325CF0B0D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344888</xdr:colOff>
      <xdr:row>26</xdr:row>
      <xdr:rowOff>31805</xdr:rowOff>
    </xdr:from>
    <xdr:to>
      <xdr:col>23</xdr:col>
      <xdr:colOff>70568</xdr:colOff>
      <xdr:row>47</xdr:row>
      <xdr:rowOff>82255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7096852-65CF-4E88-90CC-9ADED264A4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shstfpower.en.made-in-china.com/product/RKFmvhSHCQUc/China-300kw-400HP-Marine-Diesel-Engine-Boat-Engine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3D3B1-FF45-4E6D-ABBA-461F51A88923}">
  <dimension ref="B2:J37"/>
  <sheetViews>
    <sheetView zoomScale="55" zoomScaleNormal="55" workbookViewId="0">
      <selection activeCell="E37" sqref="E37"/>
    </sheetView>
  </sheetViews>
  <sheetFormatPr defaultColWidth="9.140625" defaultRowHeight="15" x14ac:dyDescent="0.25"/>
  <cols>
    <col min="1" max="2" width="9.140625" style="1"/>
    <col min="3" max="3" width="35.7109375" style="1" customWidth="1"/>
    <col min="4" max="4" width="15" style="1" customWidth="1"/>
    <col min="5" max="5" width="14.85546875" style="1" customWidth="1"/>
    <col min="6" max="6" width="12.28515625" style="1" customWidth="1"/>
    <col min="7" max="7" width="13.7109375" style="1" customWidth="1"/>
    <col min="8" max="8" width="11.42578125" style="1" customWidth="1"/>
    <col min="9" max="9" width="11.140625" style="1" customWidth="1"/>
    <col min="10" max="10" width="15.140625" style="1" customWidth="1"/>
    <col min="11" max="16384" width="9.140625" style="1"/>
  </cols>
  <sheetData>
    <row r="2" spans="2:10" x14ac:dyDescent="0.25">
      <c r="B2" s="491" t="s">
        <v>15</v>
      </c>
      <c r="C2" s="491"/>
      <c r="D2" s="491"/>
      <c r="E2" s="491"/>
      <c r="F2" s="491"/>
      <c r="G2" s="491"/>
      <c r="H2" s="491"/>
      <c r="I2" s="491"/>
      <c r="J2" s="491"/>
    </row>
    <row r="3" spans="2:10" x14ac:dyDescent="0.25">
      <c r="B3" s="491" t="s">
        <v>0</v>
      </c>
      <c r="C3" s="491"/>
      <c r="D3" s="491"/>
      <c r="E3" s="491"/>
      <c r="F3" s="491"/>
      <c r="G3" s="491"/>
      <c r="H3" s="491"/>
      <c r="I3" s="491"/>
      <c r="J3" s="491"/>
    </row>
    <row r="4" spans="2:10" x14ac:dyDescent="0.25"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</row>
    <row r="5" spans="2:10" x14ac:dyDescent="0.25">
      <c r="B5" s="2">
        <v>1</v>
      </c>
      <c r="C5" s="4" t="s">
        <v>10</v>
      </c>
      <c r="D5" s="24">
        <v>100</v>
      </c>
      <c r="E5" s="25">
        <v>30.7</v>
      </c>
      <c r="F5" s="25">
        <v>23.15</v>
      </c>
      <c r="G5" s="25">
        <v>6.92</v>
      </c>
      <c r="H5" s="25">
        <v>2.4300000000000002</v>
      </c>
      <c r="I5" s="25">
        <v>1.2</v>
      </c>
      <c r="J5" s="26">
        <v>15</v>
      </c>
    </row>
    <row r="6" spans="2:10" x14ac:dyDescent="0.25">
      <c r="B6" s="2">
        <v>2</v>
      </c>
      <c r="C6" s="4" t="s">
        <v>11</v>
      </c>
      <c r="D6" s="24">
        <v>38</v>
      </c>
      <c r="E6" s="25">
        <v>30.29</v>
      </c>
      <c r="F6" s="25">
        <v>25.5</v>
      </c>
      <c r="G6" s="27">
        <v>6.8</v>
      </c>
      <c r="H6" s="27">
        <v>2.77</v>
      </c>
      <c r="I6" s="7">
        <v>1.37</v>
      </c>
      <c r="J6" s="28">
        <v>10</v>
      </c>
    </row>
    <row r="7" spans="2:10" x14ac:dyDescent="0.25">
      <c r="B7" s="2">
        <v>3</v>
      </c>
      <c r="C7" s="5" t="s">
        <v>17</v>
      </c>
      <c r="D7" s="24">
        <v>152</v>
      </c>
      <c r="E7" s="25">
        <v>27</v>
      </c>
      <c r="F7" s="25">
        <v>24</v>
      </c>
      <c r="G7" s="27">
        <v>8.5</v>
      </c>
      <c r="H7" s="27">
        <v>3.2</v>
      </c>
      <c r="I7" s="25">
        <v>1.7</v>
      </c>
      <c r="J7" s="28">
        <v>12</v>
      </c>
    </row>
    <row r="8" spans="2:10" x14ac:dyDescent="0.25">
      <c r="B8" s="2">
        <v>4</v>
      </c>
      <c r="C8" s="4" t="s">
        <v>12</v>
      </c>
      <c r="D8" s="24">
        <v>72</v>
      </c>
      <c r="E8" s="25">
        <v>30</v>
      </c>
      <c r="F8" s="25">
        <v>26.72</v>
      </c>
      <c r="G8" s="27">
        <v>7</v>
      </c>
      <c r="H8" s="27">
        <v>2.7</v>
      </c>
      <c r="I8" s="25">
        <v>1.25</v>
      </c>
      <c r="J8" s="28">
        <v>21.7</v>
      </c>
    </row>
    <row r="9" spans="2:10" x14ac:dyDescent="0.25">
      <c r="B9" s="2">
        <v>5</v>
      </c>
      <c r="C9" s="6" t="s">
        <v>19</v>
      </c>
      <c r="D9" s="28">
        <v>48</v>
      </c>
      <c r="E9" s="27">
        <v>29</v>
      </c>
      <c r="F9" s="25">
        <v>26.4</v>
      </c>
      <c r="G9" s="27">
        <v>6.8</v>
      </c>
      <c r="H9" s="27">
        <v>2.4500000000000002</v>
      </c>
      <c r="I9" s="25">
        <v>1.28</v>
      </c>
      <c r="J9" s="28">
        <v>9</v>
      </c>
    </row>
    <row r="10" spans="2:10" x14ac:dyDescent="0.25">
      <c r="B10" s="2">
        <v>6</v>
      </c>
      <c r="C10" s="4" t="s">
        <v>13</v>
      </c>
      <c r="D10" s="24">
        <v>83</v>
      </c>
      <c r="E10" s="25">
        <v>32</v>
      </c>
      <c r="F10" s="25">
        <v>31.55</v>
      </c>
      <c r="G10" s="27">
        <v>8</v>
      </c>
      <c r="H10" s="27">
        <v>2.7</v>
      </c>
      <c r="I10" s="25">
        <v>1.26</v>
      </c>
      <c r="J10" s="28">
        <v>12.8</v>
      </c>
    </row>
    <row r="11" spans="2:10" x14ac:dyDescent="0.25">
      <c r="B11" s="2">
        <v>7</v>
      </c>
      <c r="C11" s="4" t="s">
        <v>18</v>
      </c>
      <c r="D11" s="24">
        <v>42</v>
      </c>
      <c r="E11" s="25">
        <v>30</v>
      </c>
      <c r="F11" s="25">
        <v>27.6</v>
      </c>
      <c r="G11" s="27">
        <v>7</v>
      </c>
      <c r="H11" s="27">
        <v>2.7</v>
      </c>
      <c r="I11" s="25">
        <v>1.6</v>
      </c>
      <c r="J11" s="28">
        <v>20</v>
      </c>
    </row>
    <row r="12" spans="2:10" x14ac:dyDescent="0.25">
      <c r="B12" s="2">
        <v>8</v>
      </c>
      <c r="C12" s="4" t="s">
        <v>14</v>
      </c>
      <c r="D12" s="24">
        <v>131</v>
      </c>
      <c r="E12" s="25">
        <v>32</v>
      </c>
      <c r="F12" s="25">
        <v>28.75</v>
      </c>
      <c r="G12" s="27">
        <v>7.12</v>
      </c>
      <c r="H12" s="27">
        <v>2.75</v>
      </c>
      <c r="I12" s="25">
        <v>1.45</v>
      </c>
      <c r="J12" s="28">
        <v>20</v>
      </c>
    </row>
    <row r="13" spans="2:10" x14ac:dyDescent="0.25">
      <c r="B13" s="2">
        <v>9</v>
      </c>
      <c r="C13" s="4" t="s">
        <v>20</v>
      </c>
      <c r="D13" s="24">
        <v>136</v>
      </c>
      <c r="E13" s="25">
        <v>30.6</v>
      </c>
      <c r="F13" s="25">
        <v>26.67</v>
      </c>
      <c r="G13" s="27">
        <v>8.1</v>
      </c>
      <c r="H13" s="27">
        <v>2.4</v>
      </c>
      <c r="I13" s="25">
        <v>1.33</v>
      </c>
      <c r="J13" s="28">
        <v>20</v>
      </c>
    </row>
    <row r="14" spans="2:10" x14ac:dyDescent="0.25">
      <c r="B14" s="3">
        <v>10</v>
      </c>
      <c r="C14" s="4" t="s">
        <v>21</v>
      </c>
      <c r="D14" s="8">
        <v>67</v>
      </c>
      <c r="E14" s="7">
        <v>30.7</v>
      </c>
      <c r="F14" s="7">
        <v>26.19</v>
      </c>
      <c r="G14" s="7">
        <v>9.6</v>
      </c>
      <c r="H14" s="7">
        <v>2.8</v>
      </c>
      <c r="I14" s="7">
        <v>1.8</v>
      </c>
      <c r="J14" s="8">
        <v>25</v>
      </c>
    </row>
    <row r="17" spans="2:10" x14ac:dyDescent="0.25">
      <c r="B17" s="491" t="s">
        <v>16</v>
      </c>
      <c r="C17" s="491"/>
      <c r="D17" s="491"/>
      <c r="E17" s="491"/>
      <c r="F17" s="491"/>
      <c r="G17" s="491"/>
      <c r="H17" s="491"/>
      <c r="I17" s="491"/>
      <c r="J17" s="491"/>
    </row>
    <row r="18" spans="2:10" x14ac:dyDescent="0.25">
      <c r="B18" s="491" t="s">
        <v>0</v>
      </c>
      <c r="C18" s="491"/>
      <c r="D18" s="491"/>
      <c r="E18" s="491"/>
      <c r="F18" s="491"/>
      <c r="G18" s="491"/>
      <c r="H18" s="491"/>
      <c r="I18" s="491"/>
      <c r="J18" s="491"/>
    </row>
    <row r="19" spans="2:10" ht="15.75" x14ac:dyDescent="0.25">
      <c r="B19" s="9" t="s">
        <v>1</v>
      </c>
      <c r="C19" s="10" t="s">
        <v>2</v>
      </c>
      <c r="D19" s="9" t="s">
        <v>3</v>
      </c>
      <c r="E19" s="9" t="s">
        <v>4</v>
      </c>
      <c r="F19" s="9" t="s">
        <v>5</v>
      </c>
      <c r="G19" s="9" t="s">
        <v>6</v>
      </c>
      <c r="H19" s="9" t="s">
        <v>7</v>
      </c>
      <c r="I19" s="9" t="s">
        <v>8</v>
      </c>
      <c r="J19" s="9" t="s">
        <v>9</v>
      </c>
    </row>
    <row r="20" spans="2:10" x14ac:dyDescent="0.25">
      <c r="B20" s="9">
        <v>1</v>
      </c>
      <c r="C20" s="12" t="s">
        <v>22</v>
      </c>
      <c r="D20" s="13">
        <v>37</v>
      </c>
      <c r="E20" s="14">
        <v>33</v>
      </c>
      <c r="F20" s="14">
        <v>31.35</v>
      </c>
      <c r="G20" s="14">
        <v>8.5</v>
      </c>
      <c r="H20" s="15">
        <v>2.8</v>
      </c>
      <c r="I20" s="15">
        <v>1.31</v>
      </c>
      <c r="J20" s="14">
        <v>28</v>
      </c>
    </row>
    <row r="21" spans="2:10" x14ac:dyDescent="0.25">
      <c r="B21" s="9">
        <v>2</v>
      </c>
      <c r="C21" s="12" t="s">
        <v>23</v>
      </c>
      <c r="D21" s="16">
        <v>35</v>
      </c>
      <c r="E21" s="14">
        <v>36</v>
      </c>
      <c r="F21" s="14">
        <v>35.4</v>
      </c>
      <c r="G21" s="17">
        <v>10</v>
      </c>
      <c r="H21" s="18">
        <v>2.7</v>
      </c>
      <c r="I21" s="11">
        <v>1.2</v>
      </c>
      <c r="J21" s="19">
        <v>29.5</v>
      </c>
    </row>
    <row r="22" spans="2:10" x14ac:dyDescent="0.25">
      <c r="B22" s="9">
        <v>3</v>
      </c>
      <c r="C22" s="12" t="s">
        <v>25</v>
      </c>
      <c r="D22" s="13">
        <v>37</v>
      </c>
      <c r="E22" s="14">
        <v>33</v>
      </c>
      <c r="F22" s="14">
        <v>32.700000000000003</v>
      </c>
      <c r="G22" s="17">
        <v>8.5</v>
      </c>
      <c r="H22" s="17">
        <v>2.8</v>
      </c>
      <c r="I22" s="15">
        <v>1.31</v>
      </c>
      <c r="J22" s="19">
        <v>28</v>
      </c>
    </row>
    <row r="23" spans="2:10" x14ac:dyDescent="0.25">
      <c r="B23" s="9">
        <v>4</v>
      </c>
      <c r="C23" s="12" t="s">
        <v>26</v>
      </c>
      <c r="D23" s="13">
        <v>31</v>
      </c>
      <c r="E23" s="14">
        <v>34.85</v>
      </c>
      <c r="F23" s="14">
        <v>30.1</v>
      </c>
      <c r="G23" s="17">
        <v>6.89</v>
      </c>
      <c r="H23" s="18">
        <v>1.19</v>
      </c>
      <c r="I23" s="15">
        <v>1.19</v>
      </c>
      <c r="J23" s="19">
        <v>28</v>
      </c>
    </row>
    <row r="24" spans="2:10" x14ac:dyDescent="0.25">
      <c r="B24" s="9">
        <v>5</v>
      </c>
      <c r="C24" s="12" t="s">
        <v>27</v>
      </c>
      <c r="D24" s="13">
        <v>57</v>
      </c>
      <c r="E24" s="14">
        <v>30.5</v>
      </c>
      <c r="F24" s="14">
        <v>27.6</v>
      </c>
      <c r="G24" s="17">
        <v>10.8</v>
      </c>
      <c r="H24" s="18">
        <v>4.76</v>
      </c>
      <c r="I24" s="15">
        <v>2.29</v>
      </c>
      <c r="J24" s="19">
        <v>29</v>
      </c>
    </row>
    <row r="25" spans="2:10" x14ac:dyDescent="0.25">
      <c r="B25" s="9">
        <v>6</v>
      </c>
      <c r="C25" s="12" t="s">
        <v>28</v>
      </c>
      <c r="D25" s="13">
        <v>57</v>
      </c>
      <c r="E25" s="14">
        <v>30.5</v>
      </c>
      <c r="F25" s="14">
        <v>27.6</v>
      </c>
      <c r="G25" s="17">
        <v>10.8</v>
      </c>
      <c r="H25" s="18">
        <v>4.76</v>
      </c>
      <c r="I25" s="15">
        <v>2.29</v>
      </c>
      <c r="J25" s="19">
        <v>29</v>
      </c>
    </row>
    <row r="26" spans="2:10" x14ac:dyDescent="0.25">
      <c r="B26" s="9">
        <v>7</v>
      </c>
      <c r="C26" s="20" t="s">
        <v>29</v>
      </c>
      <c r="D26" s="13">
        <v>24</v>
      </c>
      <c r="E26" s="14">
        <v>36</v>
      </c>
      <c r="F26" s="14">
        <v>34</v>
      </c>
      <c r="G26" s="17">
        <v>9.6999999999999993</v>
      </c>
      <c r="H26" s="17">
        <v>3.4</v>
      </c>
      <c r="I26" s="14">
        <v>1.1000000000000001</v>
      </c>
      <c r="J26" s="21">
        <v>34</v>
      </c>
    </row>
    <row r="27" spans="2:10" x14ac:dyDescent="0.25">
      <c r="B27" s="9">
        <v>8</v>
      </c>
      <c r="C27" s="22" t="s">
        <v>30</v>
      </c>
      <c r="D27" s="13">
        <v>24</v>
      </c>
      <c r="E27" s="23">
        <v>36</v>
      </c>
      <c r="F27" s="15">
        <v>34</v>
      </c>
      <c r="G27" s="17">
        <v>9.6999999999999993</v>
      </c>
      <c r="H27" s="17">
        <v>3.4</v>
      </c>
      <c r="I27" s="14">
        <v>1.1000000000000001</v>
      </c>
      <c r="J27" s="21">
        <v>34</v>
      </c>
    </row>
    <row r="28" spans="2:10" x14ac:dyDescent="0.25">
      <c r="B28" s="9">
        <v>9</v>
      </c>
      <c r="C28" s="22" t="s">
        <v>31</v>
      </c>
      <c r="D28" s="13">
        <v>27</v>
      </c>
      <c r="E28" s="14">
        <v>37.6</v>
      </c>
      <c r="F28" s="14">
        <v>31.5</v>
      </c>
      <c r="G28" s="18">
        <v>7</v>
      </c>
      <c r="H28" s="17">
        <v>2.48</v>
      </c>
      <c r="I28" s="15">
        <v>1.01</v>
      </c>
      <c r="J28" s="19">
        <v>31</v>
      </c>
    </row>
    <row r="29" spans="2:10" x14ac:dyDescent="0.25">
      <c r="B29" s="11">
        <v>10</v>
      </c>
      <c r="C29" s="22" t="s">
        <v>24</v>
      </c>
      <c r="D29" s="11">
        <v>37</v>
      </c>
      <c r="E29" s="11">
        <v>33</v>
      </c>
      <c r="F29" s="11">
        <v>32.700000000000003</v>
      </c>
      <c r="G29" s="11">
        <v>8.5</v>
      </c>
      <c r="H29" s="11">
        <v>3.25</v>
      </c>
      <c r="I29" s="11">
        <v>2.8</v>
      </c>
      <c r="J29" s="11">
        <v>28</v>
      </c>
    </row>
    <row r="36" spans="4:5" x14ac:dyDescent="0.25">
      <c r="D36" s="54">
        <f>AVERAGE(D5:D14)</f>
        <v>86.9</v>
      </c>
      <c r="E36" s="55" t="s">
        <v>53</v>
      </c>
    </row>
    <row r="37" spans="4:5" x14ac:dyDescent="0.25">
      <c r="D37" s="1">
        <f>AVERAGE(D20:D29)</f>
        <v>36.6</v>
      </c>
      <c r="E37" s="55">
        <v>85</v>
      </c>
    </row>
  </sheetData>
  <mergeCells count="4">
    <mergeCell ref="B3:J3"/>
    <mergeCell ref="B2:J2"/>
    <mergeCell ref="B17:J17"/>
    <mergeCell ref="B18:J1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87438-9340-4925-84E5-BD567FD21CF6}">
  <sheetPr>
    <tabColor rgb="FF00B050"/>
  </sheetPr>
  <dimension ref="B1:X26"/>
  <sheetViews>
    <sheetView zoomScale="70" zoomScaleNormal="70" workbookViewId="0">
      <selection activeCell="M38" sqref="M38"/>
    </sheetView>
  </sheetViews>
  <sheetFormatPr defaultColWidth="8.85546875" defaultRowHeight="12.75" x14ac:dyDescent="0.2"/>
  <cols>
    <col min="1" max="16384" width="8.85546875" style="490"/>
  </cols>
  <sheetData>
    <row r="1" spans="2:24" ht="13.5" thickBot="1" x14ac:dyDescent="0.25"/>
    <row r="2" spans="2:24" ht="13.5" thickBot="1" x14ac:dyDescent="0.25">
      <c r="B2" s="694" t="s">
        <v>15</v>
      </c>
      <c r="C2" s="695"/>
      <c r="D2" s="695"/>
      <c r="E2" s="695"/>
      <c r="F2" s="695"/>
      <c r="G2" s="695"/>
      <c r="H2" s="695"/>
      <c r="I2" s="695"/>
      <c r="J2" s="695"/>
      <c r="K2" s="695"/>
      <c r="L2" s="696"/>
      <c r="N2" s="694" t="s">
        <v>16</v>
      </c>
      <c r="O2" s="695"/>
      <c r="P2" s="695"/>
      <c r="Q2" s="695"/>
      <c r="R2" s="695"/>
      <c r="S2" s="695"/>
      <c r="T2" s="695"/>
      <c r="U2" s="695"/>
      <c r="V2" s="695"/>
      <c r="W2" s="695"/>
      <c r="X2" s="696"/>
    </row>
    <row r="3" spans="2:24" ht="13.5" thickBot="1" x14ac:dyDescent="0.25">
      <c r="B3" s="694" t="s">
        <v>587</v>
      </c>
      <c r="C3" s="695"/>
      <c r="D3" s="695"/>
      <c r="E3" s="695"/>
      <c r="F3" s="695"/>
      <c r="G3" s="695"/>
      <c r="H3" s="695"/>
      <c r="I3" s="695"/>
      <c r="J3" s="695"/>
      <c r="K3" s="695"/>
      <c r="L3" s="696"/>
      <c r="N3" s="694" t="s">
        <v>587</v>
      </c>
      <c r="O3" s="695"/>
      <c r="P3" s="695"/>
      <c r="Q3" s="695"/>
      <c r="R3" s="695"/>
      <c r="S3" s="695"/>
      <c r="T3" s="695"/>
      <c r="U3" s="695"/>
      <c r="V3" s="695"/>
      <c r="W3" s="695"/>
      <c r="X3" s="696"/>
    </row>
    <row r="25" spans="2:24" ht="13.5" thickBot="1" x14ac:dyDescent="0.25"/>
    <row r="26" spans="2:24" ht="13.5" thickBot="1" x14ac:dyDescent="0.25">
      <c r="B26" s="694" t="s">
        <v>588</v>
      </c>
      <c r="C26" s="695"/>
      <c r="D26" s="695"/>
      <c r="E26" s="695"/>
      <c r="F26" s="695"/>
      <c r="G26" s="695"/>
      <c r="H26" s="695"/>
      <c r="I26" s="695"/>
      <c r="J26" s="695"/>
      <c r="K26" s="695"/>
      <c r="L26" s="696"/>
      <c r="N26" s="694" t="s">
        <v>588</v>
      </c>
      <c r="O26" s="695"/>
      <c r="P26" s="695"/>
      <c r="Q26" s="695"/>
      <c r="R26" s="695"/>
      <c r="S26" s="695"/>
      <c r="T26" s="695"/>
      <c r="U26" s="695"/>
      <c r="V26" s="695"/>
      <c r="W26" s="695"/>
      <c r="X26" s="696"/>
    </row>
  </sheetData>
  <mergeCells count="6">
    <mergeCell ref="B3:L3"/>
    <mergeCell ref="B2:L2"/>
    <mergeCell ref="B26:L26"/>
    <mergeCell ref="N2:X2"/>
    <mergeCell ref="N3:X3"/>
    <mergeCell ref="N26:X26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73D3E-57AD-466C-95E3-C1FE6A4D069C}">
  <sheetPr>
    <tabColor rgb="FF92D050"/>
  </sheetPr>
  <dimension ref="B1:BH126"/>
  <sheetViews>
    <sheetView zoomScale="85" zoomScaleNormal="85" workbookViewId="0">
      <selection activeCell="L16" sqref="L16"/>
    </sheetView>
  </sheetViews>
  <sheetFormatPr defaultColWidth="8.85546875" defaultRowHeight="15" x14ac:dyDescent="0.25"/>
  <cols>
    <col min="1" max="1" width="8.85546875" style="245"/>
    <col min="2" max="2" width="9.7109375" style="198" customWidth="1"/>
    <col min="3" max="3" width="25.140625" style="198" customWidth="1"/>
    <col min="4" max="4" width="22.42578125" style="336" bestFit="1" customWidth="1"/>
    <col min="5" max="5" width="7" style="350" bestFit="1" customWidth="1"/>
    <col min="6" max="6" width="6" style="336" bestFit="1" customWidth="1"/>
    <col min="7" max="7" width="11" style="245" bestFit="1" customWidth="1"/>
    <col min="8" max="8" width="17.7109375" style="245" bestFit="1" customWidth="1"/>
    <col min="9" max="9" width="11" style="245" bestFit="1" customWidth="1"/>
    <col min="10" max="10" width="17.7109375" style="245" bestFit="1" customWidth="1"/>
    <col min="11" max="11" width="8.85546875" style="245"/>
    <col min="12" max="12" width="25.42578125" style="378" customWidth="1"/>
    <col min="13" max="13" width="38.7109375" style="361" customWidth="1"/>
    <col min="14" max="36" width="8.85546875" style="245"/>
    <col min="37" max="37" width="25.42578125" style="378" customWidth="1"/>
    <col min="38" max="38" width="38.7109375" style="361" customWidth="1"/>
    <col min="39" max="16384" width="8.85546875" style="245"/>
  </cols>
  <sheetData>
    <row r="1" spans="2:60" ht="15.75" thickBot="1" x14ac:dyDescent="0.3"/>
    <row r="2" spans="2:60" x14ac:dyDescent="0.25">
      <c r="B2" s="719" t="s">
        <v>579</v>
      </c>
      <c r="C2" s="708"/>
      <c r="D2" s="708"/>
      <c r="E2" s="708"/>
      <c r="F2" s="708"/>
      <c r="G2" s="708"/>
      <c r="H2" s="708"/>
      <c r="I2" s="708"/>
      <c r="J2" s="709"/>
    </row>
    <row r="3" spans="2:60" x14ac:dyDescent="0.25">
      <c r="B3" s="720" t="s">
        <v>602</v>
      </c>
      <c r="C3" s="655"/>
      <c r="D3" s="725" t="s">
        <v>510</v>
      </c>
      <c r="E3" s="726"/>
      <c r="F3" s="727"/>
      <c r="G3" s="601" t="s">
        <v>542</v>
      </c>
      <c r="H3" s="734"/>
      <c r="I3" s="734"/>
      <c r="J3" s="641"/>
    </row>
    <row r="4" spans="2:60" ht="14.45" customHeight="1" x14ac:dyDescent="0.25">
      <c r="B4" s="721"/>
      <c r="C4" s="722"/>
      <c r="D4" s="728"/>
      <c r="E4" s="729"/>
      <c r="F4" s="730"/>
      <c r="G4" s="603" t="s">
        <v>15</v>
      </c>
      <c r="H4" s="603"/>
      <c r="I4" s="603" t="s">
        <v>16</v>
      </c>
      <c r="J4" s="711"/>
    </row>
    <row r="5" spans="2:60" ht="15.75" thickBot="1" x14ac:dyDescent="0.3">
      <c r="B5" s="723"/>
      <c r="C5" s="724"/>
      <c r="D5" s="731"/>
      <c r="E5" s="732"/>
      <c r="F5" s="733"/>
      <c r="G5" s="332" t="s">
        <v>397</v>
      </c>
      <c r="H5" s="332" t="s">
        <v>511</v>
      </c>
      <c r="I5" s="332" t="s">
        <v>397</v>
      </c>
      <c r="J5" s="360" t="s">
        <v>511</v>
      </c>
      <c r="L5" s="379"/>
      <c r="M5" s="362"/>
      <c r="N5" s="321"/>
      <c r="O5" s="321"/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21"/>
      <c r="AA5" s="321"/>
      <c r="AB5" s="321"/>
      <c r="AC5" s="321"/>
      <c r="AD5" s="321"/>
      <c r="AE5" s="321"/>
      <c r="AF5" s="321"/>
      <c r="AG5" s="321"/>
      <c r="AH5" s="321"/>
      <c r="AI5" s="321"/>
      <c r="AK5" s="379"/>
      <c r="AL5" s="362"/>
      <c r="AM5" s="321"/>
      <c r="AN5" s="321"/>
      <c r="AO5" s="321"/>
      <c r="AP5" s="321"/>
      <c r="AQ5" s="321"/>
      <c r="AR5" s="321"/>
      <c r="AS5" s="321"/>
      <c r="AT5" s="321"/>
      <c r="AU5" s="321"/>
      <c r="AV5" s="321"/>
      <c r="AW5" s="321"/>
      <c r="AX5" s="321"/>
      <c r="AY5" s="321"/>
      <c r="AZ5" s="321"/>
      <c r="BA5" s="321"/>
      <c r="BB5" s="321"/>
      <c r="BC5" s="321"/>
      <c r="BD5" s="321"/>
      <c r="BE5" s="321"/>
      <c r="BF5" s="321"/>
      <c r="BG5" s="321"/>
      <c r="BH5" s="321"/>
    </row>
    <row r="6" spans="2:60" x14ac:dyDescent="0.25">
      <c r="B6" s="714" t="s">
        <v>512</v>
      </c>
      <c r="C6" s="715"/>
      <c r="D6" s="387" t="s">
        <v>517</v>
      </c>
      <c r="E6" s="388">
        <f>N32</f>
        <v>3.1513</v>
      </c>
      <c r="F6" s="389" t="s">
        <v>449</v>
      </c>
      <c r="G6" s="340">
        <f>P32</f>
        <v>45.505200000000002</v>
      </c>
      <c r="H6" s="340" t="str">
        <f>IF(G6&gt;=$E6,"PASS","FAIL")</f>
        <v>PASS</v>
      </c>
      <c r="I6" s="340">
        <f>AO32</f>
        <v>112.215</v>
      </c>
      <c r="J6" s="341" t="str">
        <f>IF(I6&gt;=$E6,"PASS","FAIL")</f>
        <v>PASS</v>
      </c>
      <c r="L6" s="379"/>
      <c r="M6" s="700" t="s">
        <v>541</v>
      </c>
      <c r="N6" s="701"/>
      <c r="O6" s="701"/>
      <c r="P6" s="701"/>
      <c r="Q6" s="701"/>
      <c r="R6" s="701"/>
      <c r="S6" s="701"/>
      <c r="T6" s="701"/>
      <c r="U6" s="701"/>
      <c r="V6" s="701"/>
      <c r="W6" s="701"/>
      <c r="X6" s="701"/>
      <c r="Y6" s="701"/>
      <c r="Z6" s="701"/>
      <c r="AA6" s="701"/>
      <c r="AB6" s="701"/>
      <c r="AC6" s="701"/>
      <c r="AD6" s="701"/>
      <c r="AE6" s="701"/>
      <c r="AF6" s="701"/>
      <c r="AG6" s="701"/>
      <c r="AH6" s="701"/>
      <c r="AI6" s="702"/>
      <c r="AK6" s="379"/>
      <c r="AL6" s="700" t="s">
        <v>595</v>
      </c>
      <c r="AM6" s="701"/>
      <c r="AN6" s="701"/>
      <c r="AO6" s="701"/>
      <c r="AP6" s="701"/>
      <c r="AQ6" s="701"/>
      <c r="AR6" s="701"/>
      <c r="AS6" s="701"/>
      <c r="AT6" s="701"/>
      <c r="AU6" s="701"/>
      <c r="AV6" s="701"/>
      <c r="AW6" s="701"/>
      <c r="AX6" s="701"/>
      <c r="AY6" s="701"/>
      <c r="AZ6" s="701"/>
      <c r="BA6" s="701"/>
      <c r="BB6" s="701"/>
      <c r="BC6" s="701"/>
      <c r="BD6" s="701"/>
      <c r="BE6" s="701"/>
      <c r="BF6" s="701"/>
      <c r="BG6" s="701"/>
      <c r="BH6" s="702"/>
    </row>
    <row r="7" spans="2:60" ht="15.75" thickBot="1" x14ac:dyDescent="0.3">
      <c r="B7" s="712" t="s">
        <v>513</v>
      </c>
      <c r="C7" s="716"/>
      <c r="D7" s="354" t="s">
        <v>517</v>
      </c>
      <c r="E7" s="355">
        <f>N41</f>
        <v>5.1566000000000001</v>
      </c>
      <c r="F7" s="356" t="s">
        <v>449</v>
      </c>
      <c r="G7" s="202">
        <f>P41</f>
        <v>71.742400000000004</v>
      </c>
      <c r="H7" s="340" t="str">
        <f t="shared" ref="H7:J11" si="0">IF(G7&gt;=$E7,"PASS","FAIL")</f>
        <v>PASS</v>
      </c>
      <c r="I7" s="202">
        <f>AO41</f>
        <v>161.81440000000001</v>
      </c>
      <c r="J7" s="341" t="str">
        <f t="shared" si="0"/>
        <v>PASS</v>
      </c>
      <c r="L7" s="379"/>
      <c r="M7" s="703"/>
      <c r="N7" s="704"/>
      <c r="O7" s="704"/>
      <c r="P7" s="704"/>
      <c r="Q7" s="704"/>
      <c r="R7" s="704"/>
      <c r="S7" s="704"/>
      <c r="T7" s="704"/>
      <c r="U7" s="704"/>
      <c r="V7" s="704"/>
      <c r="W7" s="704"/>
      <c r="X7" s="704"/>
      <c r="Y7" s="704"/>
      <c r="Z7" s="704"/>
      <c r="AA7" s="704"/>
      <c r="AB7" s="704"/>
      <c r="AC7" s="704"/>
      <c r="AD7" s="704"/>
      <c r="AE7" s="704"/>
      <c r="AF7" s="704"/>
      <c r="AG7" s="704"/>
      <c r="AH7" s="704"/>
      <c r="AI7" s="705"/>
      <c r="AK7" s="379"/>
      <c r="AL7" s="703"/>
      <c r="AM7" s="704"/>
      <c r="AN7" s="704"/>
      <c r="AO7" s="704"/>
      <c r="AP7" s="704"/>
      <c r="AQ7" s="704"/>
      <c r="AR7" s="704"/>
      <c r="AS7" s="704"/>
      <c r="AT7" s="704"/>
      <c r="AU7" s="704"/>
      <c r="AV7" s="704"/>
      <c r="AW7" s="704"/>
      <c r="AX7" s="704"/>
      <c r="AY7" s="704"/>
      <c r="AZ7" s="704"/>
      <c r="BA7" s="704"/>
      <c r="BB7" s="704"/>
      <c r="BC7" s="704"/>
      <c r="BD7" s="704"/>
      <c r="BE7" s="704"/>
      <c r="BF7" s="704"/>
      <c r="BG7" s="704"/>
      <c r="BH7" s="705"/>
    </row>
    <row r="8" spans="2:60" x14ac:dyDescent="0.25">
      <c r="B8" s="712" t="s">
        <v>514</v>
      </c>
      <c r="C8" s="716"/>
      <c r="D8" s="354" t="s">
        <v>517</v>
      </c>
      <c r="E8" s="355">
        <f>N50</f>
        <v>1.7189000000000001</v>
      </c>
      <c r="F8" s="356" t="s">
        <v>449</v>
      </c>
      <c r="G8" s="202">
        <f>P50</f>
        <v>26.237100000000002</v>
      </c>
      <c r="H8" s="340" t="str">
        <f t="shared" si="0"/>
        <v>PASS</v>
      </c>
      <c r="I8" s="202">
        <f>AO50</f>
        <v>49.599400000000003</v>
      </c>
      <c r="J8" s="341" t="str">
        <f t="shared" si="0"/>
        <v>PASS</v>
      </c>
      <c r="M8" s="706" t="s">
        <v>543</v>
      </c>
      <c r="N8" s="708" t="s">
        <v>540</v>
      </c>
      <c r="O8" s="708"/>
      <c r="P8" s="708"/>
      <c r="Q8" s="708"/>
      <c r="R8" s="708"/>
      <c r="S8" s="708"/>
      <c r="T8" s="708"/>
      <c r="U8" s="708"/>
      <c r="V8" s="708"/>
      <c r="W8" s="708"/>
      <c r="X8" s="708"/>
      <c r="Y8" s="708"/>
      <c r="Z8" s="708"/>
      <c r="AA8" s="708"/>
      <c r="AB8" s="708"/>
      <c r="AC8" s="708"/>
      <c r="AD8" s="708"/>
      <c r="AE8" s="708"/>
      <c r="AF8" s="708"/>
      <c r="AG8" s="708"/>
      <c r="AH8" s="708"/>
      <c r="AI8" s="709"/>
      <c r="AL8" s="706" t="s">
        <v>543</v>
      </c>
      <c r="AM8" s="708" t="s">
        <v>540</v>
      </c>
      <c r="AN8" s="708"/>
      <c r="AO8" s="708"/>
      <c r="AP8" s="708"/>
      <c r="AQ8" s="708"/>
      <c r="AR8" s="708"/>
      <c r="AS8" s="708"/>
      <c r="AT8" s="708"/>
      <c r="AU8" s="708"/>
      <c r="AV8" s="708"/>
      <c r="AW8" s="708"/>
      <c r="AX8" s="708"/>
      <c r="AY8" s="708"/>
      <c r="AZ8" s="708"/>
      <c r="BA8" s="708"/>
      <c r="BB8" s="708"/>
      <c r="BC8" s="708"/>
      <c r="BD8" s="708"/>
      <c r="BE8" s="708"/>
      <c r="BF8" s="708"/>
      <c r="BG8" s="708"/>
      <c r="BH8" s="709"/>
    </row>
    <row r="9" spans="2:60" ht="15.75" thickBot="1" x14ac:dyDescent="0.3">
      <c r="B9" s="717" t="s">
        <v>515</v>
      </c>
      <c r="C9" s="718"/>
      <c r="D9" s="354" t="s">
        <v>517</v>
      </c>
      <c r="E9" s="355">
        <f>N58</f>
        <v>0.2</v>
      </c>
      <c r="F9" s="356" t="s">
        <v>449</v>
      </c>
      <c r="G9" s="202">
        <f>P58</f>
        <v>3.9249999999999998</v>
      </c>
      <c r="H9" s="340" t="str">
        <f t="shared" si="0"/>
        <v>PASS</v>
      </c>
      <c r="I9" s="202">
        <f>AO58</f>
        <v>7.1909999999999998</v>
      </c>
      <c r="J9" s="341" t="str">
        <f t="shared" si="0"/>
        <v>PASS</v>
      </c>
      <c r="M9" s="707"/>
      <c r="N9" s="332">
        <v>-30</v>
      </c>
      <c r="O9" s="332">
        <v>-20</v>
      </c>
      <c r="P9" s="332">
        <v>-10</v>
      </c>
      <c r="Q9" s="332">
        <v>0</v>
      </c>
      <c r="R9" s="332">
        <v>10</v>
      </c>
      <c r="S9" s="332">
        <v>20</v>
      </c>
      <c r="T9" s="332">
        <v>30</v>
      </c>
      <c r="U9" s="332">
        <v>40</v>
      </c>
      <c r="V9" s="332">
        <v>50</v>
      </c>
      <c r="W9" s="332">
        <v>60</v>
      </c>
      <c r="X9" s="332">
        <v>70</v>
      </c>
      <c r="Y9" s="332">
        <v>80</v>
      </c>
      <c r="Z9" s="332">
        <v>90</v>
      </c>
      <c r="AA9" s="332">
        <v>100</v>
      </c>
      <c r="AB9" s="332">
        <v>110</v>
      </c>
      <c r="AC9" s="332">
        <v>120</v>
      </c>
      <c r="AD9" s="332">
        <v>130</v>
      </c>
      <c r="AE9" s="332">
        <v>140</v>
      </c>
      <c r="AF9" s="332">
        <v>150</v>
      </c>
      <c r="AG9" s="332">
        <v>160</v>
      </c>
      <c r="AH9" s="332">
        <v>170</v>
      </c>
      <c r="AI9" s="360">
        <v>180</v>
      </c>
      <c r="AL9" s="707"/>
      <c r="AM9" s="332">
        <v>-30</v>
      </c>
      <c r="AN9" s="332">
        <v>-20</v>
      </c>
      <c r="AO9" s="332">
        <v>-10</v>
      </c>
      <c r="AP9" s="332">
        <v>0</v>
      </c>
      <c r="AQ9" s="332">
        <v>10</v>
      </c>
      <c r="AR9" s="332">
        <v>20</v>
      </c>
      <c r="AS9" s="332">
        <v>30</v>
      </c>
      <c r="AT9" s="332">
        <v>40</v>
      </c>
      <c r="AU9" s="332">
        <v>50</v>
      </c>
      <c r="AV9" s="332">
        <v>60</v>
      </c>
      <c r="AW9" s="332">
        <v>70</v>
      </c>
      <c r="AX9" s="332">
        <v>80</v>
      </c>
      <c r="AY9" s="332">
        <v>90</v>
      </c>
      <c r="AZ9" s="332">
        <v>100</v>
      </c>
      <c r="BA9" s="332">
        <v>110</v>
      </c>
      <c r="BB9" s="332">
        <v>120</v>
      </c>
      <c r="BC9" s="332">
        <v>130</v>
      </c>
      <c r="BD9" s="332">
        <v>140</v>
      </c>
      <c r="BE9" s="332">
        <v>150</v>
      </c>
      <c r="BF9" s="332">
        <v>160</v>
      </c>
      <c r="BG9" s="332">
        <v>170</v>
      </c>
      <c r="BH9" s="360">
        <v>180</v>
      </c>
    </row>
    <row r="10" spans="2:60" x14ac:dyDescent="0.25">
      <c r="B10" s="717" t="s">
        <v>516</v>
      </c>
      <c r="C10" s="718"/>
      <c r="D10" s="354" t="s">
        <v>517</v>
      </c>
      <c r="E10" s="355">
        <f>N63</f>
        <v>25</v>
      </c>
      <c r="F10" s="356" t="s">
        <v>445</v>
      </c>
      <c r="G10" s="202">
        <f>P63</f>
        <v>104.5</v>
      </c>
      <c r="H10" s="340" t="str">
        <f t="shared" si="0"/>
        <v>PASS</v>
      </c>
      <c r="I10" s="202">
        <f>AO63</f>
        <v>97.3</v>
      </c>
      <c r="J10" s="341" t="str">
        <f t="shared" si="0"/>
        <v>PASS</v>
      </c>
      <c r="M10" s="363" t="s">
        <v>527</v>
      </c>
      <c r="N10" s="340">
        <v>-2.4830000000000001</v>
      </c>
      <c r="O10" s="340">
        <v>-2.02</v>
      </c>
      <c r="P10" s="340">
        <v>-1.206</v>
      </c>
      <c r="Q10" s="340">
        <v>0</v>
      </c>
      <c r="R10" s="340">
        <v>1.208</v>
      </c>
      <c r="S10" s="340">
        <v>2.0209999999999999</v>
      </c>
      <c r="T10" s="340">
        <v>2.4860000000000002</v>
      </c>
      <c r="U10" s="340">
        <v>2.734</v>
      </c>
      <c r="V10" s="340">
        <v>2.8370000000000002</v>
      </c>
      <c r="W10" s="340">
        <v>2.8370000000000002</v>
      </c>
      <c r="X10" s="340">
        <v>2.8159999999999998</v>
      </c>
      <c r="Y10" s="340">
        <v>2.99</v>
      </c>
      <c r="Z10" s="340">
        <v>3.9249999999999998</v>
      </c>
      <c r="AA10" s="340">
        <v>4.8380000000000001</v>
      </c>
      <c r="AB10" s="340">
        <v>4.8029999999999999</v>
      </c>
      <c r="AC10" s="340">
        <v>4.1959999999999997</v>
      </c>
      <c r="AD10" s="340">
        <v>3.35</v>
      </c>
      <c r="AE10" s="340">
        <v>2.3450000000000002</v>
      </c>
      <c r="AF10" s="340">
        <v>1.3009999999999999</v>
      </c>
      <c r="AG10" s="340">
        <v>0.30599999999999999</v>
      </c>
      <c r="AH10" s="340">
        <v>-0.38900000000000001</v>
      </c>
      <c r="AI10" s="341">
        <v>0</v>
      </c>
      <c r="AL10" s="363" t="s">
        <v>527</v>
      </c>
      <c r="AM10" s="340">
        <v>-5.0389999999999997</v>
      </c>
      <c r="AN10" s="340">
        <v>-5.0490000000000004</v>
      </c>
      <c r="AO10" s="340">
        <v>-3.335</v>
      </c>
      <c r="AP10" s="340">
        <v>-6.0000000000000001E-3</v>
      </c>
      <c r="AQ10" s="340">
        <v>3.331</v>
      </c>
      <c r="AR10" s="340">
        <v>5.0510000000000002</v>
      </c>
      <c r="AS10" s="340">
        <v>5.0410000000000004</v>
      </c>
      <c r="AT10" s="340">
        <v>4.891</v>
      </c>
      <c r="AU10" s="340">
        <v>4.6230000000000002</v>
      </c>
      <c r="AV10" s="340">
        <v>4.29</v>
      </c>
      <c r="AW10" s="340">
        <v>4.077</v>
      </c>
      <c r="AX10" s="340">
        <v>4.633</v>
      </c>
      <c r="AY10" s="340">
        <v>7.1909999999999998</v>
      </c>
      <c r="AZ10" s="340">
        <v>7.6909999999999998</v>
      </c>
      <c r="BA10" s="340">
        <v>7.0129999999999999</v>
      </c>
      <c r="BB10" s="340">
        <v>5.8310000000000004</v>
      </c>
      <c r="BC10" s="340">
        <v>4.351</v>
      </c>
      <c r="BD10" s="340">
        <v>2.7229999999999999</v>
      </c>
      <c r="BE10" s="340">
        <v>1.0449999999999999</v>
      </c>
      <c r="BF10" s="340">
        <v>-0.55700000000000005</v>
      </c>
      <c r="BG10" s="340">
        <v>-1.7629999999999999</v>
      </c>
      <c r="BH10" s="341">
        <v>0</v>
      </c>
    </row>
    <row r="11" spans="2:60" ht="30" x14ac:dyDescent="0.25">
      <c r="B11" s="717" t="s">
        <v>518</v>
      </c>
      <c r="C11" s="718"/>
      <c r="D11" s="354" t="s">
        <v>517</v>
      </c>
      <c r="E11" s="355">
        <f>N67</f>
        <v>0.15</v>
      </c>
      <c r="F11" s="356" t="s">
        <v>71</v>
      </c>
      <c r="G11" s="202">
        <f>P67</f>
        <v>6.99</v>
      </c>
      <c r="H11" s="340" t="str">
        <f t="shared" si="0"/>
        <v>PASS</v>
      </c>
      <c r="I11" s="202">
        <f>AO67</f>
        <v>19.63</v>
      </c>
      <c r="J11" s="341" t="str">
        <f t="shared" si="0"/>
        <v>PASS</v>
      </c>
      <c r="M11" s="364" t="s">
        <v>528</v>
      </c>
      <c r="N11" s="202">
        <v>45.411999999999999</v>
      </c>
      <c r="O11" s="202">
        <v>22.728200000000001</v>
      </c>
      <c r="P11" s="202">
        <v>6.2324999999999999</v>
      </c>
      <c r="Q11" s="202">
        <v>0</v>
      </c>
      <c r="R11" s="202">
        <v>6.2464000000000004</v>
      </c>
      <c r="S11" s="202">
        <v>22.744700000000002</v>
      </c>
      <c r="T11" s="202">
        <v>45.505200000000002</v>
      </c>
      <c r="U11" s="202">
        <v>71.742400000000004</v>
      </c>
      <c r="V11" s="202">
        <v>99.702299999999994</v>
      </c>
      <c r="W11" s="202">
        <v>128.12299999999999</v>
      </c>
      <c r="X11" s="202">
        <v>156.38200000000001</v>
      </c>
      <c r="Y11" s="202">
        <v>184.93729999999999</v>
      </c>
      <c r="Z11" s="202">
        <v>219.03919999999999</v>
      </c>
      <c r="AA11" s="202">
        <v>263.38959999999997</v>
      </c>
      <c r="AB11" s="202">
        <v>312.33300000000003</v>
      </c>
      <c r="AC11" s="202">
        <v>357.6062</v>
      </c>
      <c r="AD11" s="202">
        <v>395.488</v>
      </c>
      <c r="AE11" s="202">
        <v>424.05169999999998</v>
      </c>
      <c r="AF11" s="202">
        <v>442.26769999999999</v>
      </c>
      <c r="AG11" s="202">
        <v>450.26369999999997</v>
      </c>
      <c r="AH11" s="202">
        <v>449.17009999999999</v>
      </c>
      <c r="AI11" s="337">
        <v>446.55500000000001</v>
      </c>
      <c r="AL11" s="364" t="s">
        <v>528</v>
      </c>
      <c r="AM11" s="202">
        <v>112.3852</v>
      </c>
      <c r="AN11" s="202">
        <v>61.071100000000001</v>
      </c>
      <c r="AO11" s="202">
        <v>17.4923</v>
      </c>
      <c r="AP11" s="202">
        <v>-1.1299999999999999E-2</v>
      </c>
      <c r="AQ11" s="202">
        <v>17.395299999999999</v>
      </c>
      <c r="AR11" s="202">
        <v>61.0032</v>
      </c>
      <c r="AS11" s="202">
        <v>112.215</v>
      </c>
      <c r="AT11" s="202">
        <v>161.81440000000001</v>
      </c>
      <c r="AU11" s="202">
        <v>209.52789999999999</v>
      </c>
      <c r="AV11" s="202">
        <v>254.05269999999999</v>
      </c>
      <c r="AW11" s="202">
        <v>295.7672</v>
      </c>
      <c r="AX11" s="202">
        <v>337.63740000000001</v>
      </c>
      <c r="AY11" s="202">
        <v>396.73910000000001</v>
      </c>
      <c r="AZ11" s="202">
        <v>473.03829999999999</v>
      </c>
      <c r="BA11" s="202">
        <v>547.04679999999996</v>
      </c>
      <c r="BB11" s="202">
        <v>611.59659999999997</v>
      </c>
      <c r="BC11" s="202">
        <v>662.6721</v>
      </c>
      <c r="BD11" s="202">
        <v>698.14359999999999</v>
      </c>
      <c r="BE11" s="202">
        <v>716.91229999999996</v>
      </c>
      <c r="BF11" s="202">
        <v>719.48910000000001</v>
      </c>
      <c r="BG11" s="202">
        <v>706.24630000000002</v>
      </c>
      <c r="BH11" s="337">
        <v>695.52750000000003</v>
      </c>
    </row>
    <row r="12" spans="2:60" x14ac:dyDescent="0.25">
      <c r="B12" s="717" t="s">
        <v>520</v>
      </c>
      <c r="C12" s="718"/>
      <c r="D12" s="354" t="s">
        <v>524</v>
      </c>
      <c r="E12" s="355">
        <f>N75</f>
        <v>10</v>
      </c>
      <c r="F12" s="356" t="s">
        <v>445</v>
      </c>
      <c r="G12" s="202">
        <f>P75</f>
        <v>0</v>
      </c>
      <c r="H12" s="340" t="str">
        <f>IF(G12&lt;=$E12,"PASS","FAIL")</f>
        <v>PASS</v>
      </c>
      <c r="I12" s="202">
        <f>AO75</f>
        <v>0</v>
      </c>
      <c r="J12" s="341" t="str">
        <f>IF(I12&lt;=$E12,"PASS","FAIL")</f>
        <v>PASS</v>
      </c>
      <c r="M12" s="364" t="s">
        <v>529</v>
      </c>
      <c r="N12" s="202">
        <v>45285</v>
      </c>
      <c r="O12" s="202">
        <v>45284</v>
      </c>
      <c r="P12" s="202">
        <v>45284</v>
      </c>
      <c r="Q12" s="202">
        <v>45286</v>
      </c>
      <c r="R12" s="202">
        <v>45286</v>
      </c>
      <c r="S12" s="202">
        <v>45286</v>
      </c>
      <c r="T12" s="202">
        <v>45289</v>
      </c>
      <c r="U12" s="202">
        <v>45285</v>
      </c>
      <c r="V12" s="202">
        <v>45285</v>
      </c>
      <c r="W12" s="202">
        <v>45285</v>
      </c>
      <c r="X12" s="202">
        <v>45286</v>
      </c>
      <c r="Y12" s="202">
        <v>45286</v>
      </c>
      <c r="Z12" s="202">
        <v>45285</v>
      </c>
      <c r="AA12" s="202">
        <v>45286</v>
      </c>
      <c r="AB12" s="202">
        <v>45285</v>
      </c>
      <c r="AC12" s="202">
        <v>45285</v>
      </c>
      <c r="AD12" s="202">
        <v>45285</v>
      </c>
      <c r="AE12" s="202">
        <v>45284</v>
      </c>
      <c r="AF12" s="202">
        <v>45285</v>
      </c>
      <c r="AG12" s="202">
        <v>45286</v>
      </c>
      <c r="AH12" s="202">
        <v>45286</v>
      </c>
      <c r="AI12" s="337">
        <v>45289</v>
      </c>
      <c r="AL12" s="364" t="s">
        <v>529</v>
      </c>
      <c r="AM12" s="202">
        <v>67471</v>
      </c>
      <c r="AN12" s="202">
        <v>67471</v>
      </c>
      <c r="AO12" s="202">
        <v>67470</v>
      </c>
      <c r="AP12" s="202">
        <v>67469</v>
      </c>
      <c r="AQ12" s="202">
        <v>67471</v>
      </c>
      <c r="AR12" s="202">
        <v>67477</v>
      </c>
      <c r="AS12" s="202">
        <v>67471</v>
      </c>
      <c r="AT12" s="202">
        <v>67471</v>
      </c>
      <c r="AU12" s="202">
        <v>67477</v>
      </c>
      <c r="AV12" s="202">
        <v>67474</v>
      </c>
      <c r="AW12" s="202">
        <v>67472</v>
      </c>
      <c r="AX12" s="202">
        <v>67471</v>
      </c>
      <c r="AY12" s="202">
        <v>67474</v>
      </c>
      <c r="AZ12" s="202">
        <v>67474</v>
      </c>
      <c r="BA12" s="202">
        <v>67473</v>
      </c>
      <c r="BB12" s="202">
        <v>67472</v>
      </c>
      <c r="BC12" s="202">
        <v>67470</v>
      </c>
      <c r="BD12" s="202">
        <v>67473</v>
      </c>
      <c r="BE12" s="202">
        <v>67474</v>
      </c>
      <c r="BF12" s="202">
        <v>67470</v>
      </c>
      <c r="BG12" s="202">
        <v>67467</v>
      </c>
      <c r="BH12" s="337">
        <v>67471</v>
      </c>
    </row>
    <row r="13" spans="2:60" x14ac:dyDescent="0.25">
      <c r="B13" s="717" t="s">
        <v>521</v>
      </c>
      <c r="C13" s="718"/>
      <c r="D13" s="354" t="s">
        <v>524</v>
      </c>
      <c r="E13" s="355">
        <f>N86</f>
        <v>10</v>
      </c>
      <c r="F13" s="356" t="s">
        <v>445</v>
      </c>
      <c r="G13" s="202">
        <f>P86</f>
        <v>0</v>
      </c>
      <c r="H13" s="340" t="str">
        <f t="shared" ref="H13:J15" si="1">IF(G13&lt;=$E13,"PASS","FAIL")</f>
        <v>PASS</v>
      </c>
      <c r="I13" s="202">
        <f>AO86</f>
        <v>0</v>
      </c>
      <c r="J13" s="341" t="str">
        <f t="shared" si="1"/>
        <v>PASS</v>
      </c>
      <c r="M13" s="364" t="s">
        <v>530</v>
      </c>
      <c r="N13" s="202">
        <v>-6.4000000000000001E-2</v>
      </c>
      <c r="O13" s="202">
        <v>0.29599999999999999</v>
      </c>
      <c r="P13" s="202">
        <v>0.52700000000000002</v>
      </c>
      <c r="Q13" s="202">
        <v>0.624</v>
      </c>
      <c r="R13" s="202">
        <v>0.52600000000000002</v>
      </c>
      <c r="S13" s="202">
        <v>0.29599999999999999</v>
      </c>
      <c r="T13" s="202">
        <v>-6.4000000000000001E-2</v>
      </c>
      <c r="U13" s="202">
        <v>-0.61299999999999999</v>
      </c>
      <c r="V13" s="202">
        <v>-1.456</v>
      </c>
      <c r="W13" s="202">
        <v>-2.8679999999999999</v>
      </c>
      <c r="X13" s="202">
        <v>-5.7409999999999997</v>
      </c>
      <c r="Y13" s="202">
        <v>-14.664</v>
      </c>
      <c r="Z13" s="202" t="s">
        <v>452</v>
      </c>
      <c r="AA13" s="202">
        <v>-22.635000000000002</v>
      </c>
      <c r="AB13" s="202">
        <v>-13.651999999999999</v>
      </c>
      <c r="AC13" s="202">
        <v>-10.781000000000001</v>
      </c>
      <c r="AD13" s="202">
        <v>-9.3699999999999992</v>
      </c>
      <c r="AE13" s="202">
        <v>-8.6080000000000005</v>
      </c>
      <c r="AF13" s="202">
        <v>-8.0050000000000008</v>
      </c>
      <c r="AG13" s="202">
        <v>-7.585</v>
      </c>
      <c r="AH13" s="202">
        <v>-7.3289999999999997</v>
      </c>
      <c r="AI13" s="337">
        <v>-7.2830000000000004</v>
      </c>
      <c r="AL13" s="364" t="s">
        <v>530</v>
      </c>
      <c r="AM13" s="202">
        <v>0.35399999999999998</v>
      </c>
      <c r="AN13" s="202">
        <v>1.3580000000000001</v>
      </c>
      <c r="AO13" s="202">
        <v>1.9179999999999999</v>
      </c>
      <c r="AP13" s="202">
        <v>2.028</v>
      </c>
      <c r="AQ13" s="202">
        <v>1.92</v>
      </c>
      <c r="AR13" s="202">
        <v>1.361</v>
      </c>
      <c r="AS13" s="202">
        <v>0.35699999999999998</v>
      </c>
      <c r="AT13" s="202">
        <v>-0.88400000000000001</v>
      </c>
      <c r="AU13" s="202">
        <v>-2.5720000000000001</v>
      </c>
      <c r="AV13" s="202">
        <v>-5.194</v>
      </c>
      <c r="AW13" s="202">
        <v>-10.244999999999999</v>
      </c>
      <c r="AX13" s="202">
        <v>-25.234999999999999</v>
      </c>
      <c r="AY13" s="202" t="s">
        <v>452</v>
      </c>
      <c r="AZ13" s="202">
        <v>-38.097999999999999</v>
      </c>
      <c r="BA13" s="202">
        <v>-22.792000000000002</v>
      </c>
      <c r="BB13" s="202">
        <v>-17.776</v>
      </c>
      <c r="BC13" s="202">
        <v>-15.134</v>
      </c>
      <c r="BD13" s="202">
        <v>-13.494</v>
      </c>
      <c r="BE13" s="202">
        <v>-12.352</v>
      </c>
      <c r="BF13" s="202">
        <v>-11.506</v>
      </c>
      <c r="BG13" s="202">
        <v>-10.898999999999999</v>
      </c>
      <c r="BH13" s="337">
        <v>-10.698</v>
      </c>
    </row>
    <row r="14" spans="2:60" x14ac:dyDescent="0.25">
      <c r="B14" s="712" t="s">
        <v>522</v>
      </c>
      <c r="C14" s="352" t="s">
        <v>523</v>
      </c>
      <c r="D14" s="354" t="s">
        <v>524</v>
      </c>
      <c r="E14" s="355">
        <f>N109</f>
        <v>16</v>
      </c>
      <c r="F14" s="356" t="s">
        <v>445</v>
      </c>
      <c r="G14" s="202">
        <f>P109</f>
        <v>7.5</v>
      </c>
      <c r="H14" s="340" t="str">
        <f t="shared" si="1"/>
        <v>PASS</v>
      </c>
      <c r="I14" s="202">
        <f>AO109</f>
        <v>2.4</v>
      </c>
      <c r="J14" s="341" t="str">
        <f t="shared" si="1"/>
        <v>PASS</v>
      </c>
      <c r="M14" s="364" t="s">
        <v>531</v>
      </c>
      <c r="N14" s="202">
        <v>-6.4000000000000001E-2</v>
      </c>
      <c r="O14" s="202">
        <v>0.29599999999999999</v>
      </c>
      <c r="P14" s="202">
        <v>0.52700000000000002</v>
      </c>
      <c r="Q14" s="202">
        <v>0.624</v>
      </c>
      <c r="R14" s="202">
        <v>0.52600000000000002</v>
      </c>
      <c r="S14" s="202">
        <v>0.29599999999999999</v>
      </c>
      <c r="T14" s="202">
        <v>-6.4000000000000001E-2</v>
      </c>
      <c r="U14" s="202">
        <v>-0.61299999999999999</v>
      </c>
      <c r="V14" s="202">
        <v>-1.456</v>
      </c>
      <c r="W14" s="202">
        <v>-2.8679999999999999</v>
      </c>
      <c r="X14" s="202">
        <v>-5.7409999999999997</v>
      </c>
      <c r="Y14" s="202">
        <v>-14.664</v>
      </c>
      <c r="Z14" s="202" t="s">
        <v>452</v>
      </c>
      <c r="AA14" s="202">
        <v>-22.635000000000002</v>
      </c>
      <c r="AB14" s="202">
        <v>-13.651999999999999</v>
      </c>
      <c r="AC14" s="202">
        <v>-10.781000000000001</v>
      </c>
      <c r="AD14" s="202">
        <v>-9.3699999999999992</v>
      </c>
      <c r="AE14" s="202">
        <v>-8.6080000000000005</v>
      </c>
      <c r="AF14" s="202">
        <v>-8.0050000000000008</v>
      </c>
      <c r="AG14" s="202">
        <v>-7.585</v>
      </c>
      <c r="AH14" s="202">
        <v>-7.3289999999999997</v>
      </c>
      <c r="AI14" s="337">
        <v>-7.2830000000000004</v>
      </c>
      <c r="AL14" s="364" t="s">
        <v>531</v>
      </c>
      <c r="AM14" s="202">
        <v>0.35399999999999998</v>
      </c>
      <c r="AN14" s="202">
        <v>1.3580000000000001</v>
      </c>
      <c r="AO14" s="202">
        <v>1.9179999999999999</v>
      </c>
      <c r="AP14" s="202">
        <v>2.028</v>
      </c>
      <c r="AQ14" s="202">
        <v>1.92</v>
      </c>
      <c r="AR14" s="202">
        <v>1.361</v>
      </c>
      <c r="AS14" s="202">
        <v>0.35699999999999998</v>
      </c>
      <c r="AT14" s="202">
        <v>-0.88400000000000001</v>
      </c>
      <c r="AU14" s="202">
        <v>-2.5720000000000001</v>
      </c>
      <c r="AV14" s="202">
        <v>-5.194</v>
      </c>
      <c r="AW14" s="202">
        <v>-10.244999999999999</v>
      </c>
      <c r="AX14" s="202">
        <v>-25.234999999999999</v>
      </c>
      <c r="AY14" s="202" t="s">
        <v>452</v>
      </c>
      <c r="AZ14" s="202">
        <v>-38.097999999999999</v>
      </c>
      <c r="BA14" s="202">
        <v>-22.792000000000002</v>
      </c>
      <c r="BB14" s="202">
        <v>-17.776</v>
      </c>
      <c r="BC14" s="202">
        <v>-15.134</v>
      </c>
      <c r="BD14" s="202">
        <v>-13.494</v>
      </c>
      <c r="BE14" s="202">
        <v>-12.352</v>
      </c>
      <c r="BF14" s="202">
        <v>-11.506</v>
      </c>
      <c r="BG14" s="202">
        <v>-10.898999999999999</v>
      </c>
      <c r="BH14" s="337">
        <v>-10.698</v>
      </c>
    </row>
    <row r="15" spans="2:60" ht="45" x14ac:dyDescent="0.25">
      <c r="B15" s="712"/>
      <c r="C15" s="351" t="s">
        <v>525</v>
      </c>
      <c r="D15" s="354" t="s">
        <v>524</v>
      </c>
      <c r="E15" s="355">
        <f t="shared" ref="E15:E16" si="2">N110</f>
        <v>80</v>
      </c>
      <c r="F15" s="356" t="s">
        <v>475</v>
      </c>
      <c r="G15" s="202">
        <f>P110</f>
        <v>17.52</v>
      </c>
      <c r="H15" s="340" t="str">
        <f t="shared" si="1"/>
        <v>PASS</v>
      </c>
      <c r="I15" s="202">
        <f t="shared" ref="I15:I16" si="3">AO110</f>
        <v>5.68</v>
      </c>
      <c r="J15" s="341" t="str">
        <f t="shared" si="1"/>
        <v>PASS</v>
      </c>
      <c r="M15" s="364" t="s">
        <v>532</v>
      </c>
      <c r="N15" s="202">
        <v>23.050999999999998</v>
      </c>
      <c r="O15" s="202">
        <v>24.515999999999998</v>
      </c>
      <c r="P15" s="202">
        <v>25.792000000000002</v>
      </c>
      <c r="Q15" s="202">
        <v>25.234999999999999</v>
      </c>
      <c r="R15" s="202">
        <v>25.754999999999999</v>
      </c>
      <c r="S15" s="202">
        <v>24.515000000000001</v>
      </c>
      <c r="T15" s="202">
        <v>23.048999999999999</v>
      </c>
      <c r="U15" s="202">
        <v>22.449000000000002</v>
      </c>
      <c r="V15" s="202">
        <v>22.099</v>
      </c>
      <c r="W15" s="202">
        <v>21.887</v>
      </c>
      <c r="X15" s="202">
        <v>21.431000000000001</v>
      </c>
      <c r="Y15" s="202">
        <v>20.506</v>
      </c>
      <c r="Z15" s="202">
        <v>23.468</v>
      </c>
      <c r="AA15" s="202">
        <v>23.86</v>
      </c>
      <c r="AB15" s="202">
        <v>21.35</v>
      </c>
      <c r="AC15" s="202">
        <v>21.35</v>
      </c>
      <c r="AD15" s="202">
        <v>21.35</v>
      </c>
      <c r="AE15" s="202">
        <v>17.329999999999998</v>
      </c>
      <c r="AF15" s="202">
        <v>17.329999999999998</v>
      </c>
      <c r="AG15" s="202">
        <v>17.329999999999998</v>
      </c>
      <c r="AH15" s="202">
        <v>17.329999999999998</v>
      </c>
      <c r="AI15" s="337">
        <v>17.178000000000001</v>
      </c>
      <c r="AL15" s="364" t="s">
        <v>532</v>
      </c>
      <c r="AM15" s="202">
        <v>23.452000000000002</v>
      </c>
      <c r="AN15" s="202">
        <v>23.462</v>
      </c>
      <c r="AO15" s="202">
        <v>23.257999999999999</v>
      </c>
      <c r="AP15" s="202">
        <v>22.625</v>
      </c>
      <c r="AQ15" s="202">
        <v>23.259</v>
      </c>
      <c r="AR15" s="202">
        <v>23.463000000000001</v>
      </c>
      <c r="AS15" s="202">
        <v>23.454000000000001</v>
      </c>
      <c r="AT15" s="202">
        <v>23.436</v>
      </c>
      <c r="AU15" s="202">
        <v>23.402000000000001</v>
      </c>
      <c r="AV15" s="202">
        <v>23.321999999999999</v>
      </c>
      <c r="AW15" s="202">
        <v>23.055</v>
      </c>
      <c r="AX15" s="202">
        <v>21.19</v>
      </c>
      <c r="AY15" s="202">
        <v>20.376000000000001</v>
      </c>
      <c r="AZ15" s="202">
        <v>20.55</v>
      </c>
      <c r="BA15" s="202">
        <v>20.55</v>
      </c>
      <c r="BB15" s="202">
        <v>17.87</v>
      </c>
      <c r="BC15" s="202">
        <v>17.87</v>
      </c>
      <c r="BD15" s="202">
        <v>17.87</v>
      </c>
      <c r="BE15" s="202">
        <v>17.87</v>
      </c>
      <c r="BF15" s="202">
        <v>17.87</v>
      </c>
      <c r="BG15" s="202">
        <v>17.87</v>
      </c>
      <c r="BH15" s="337">
        <v>17.728000000000002</v>
      </c>
    </row>
    <row r="16" spans="2:60" ht="15.75" thickBot="1" x14ac:dyDescent="0.3">
      <c r="B16" s="713"/>
      <c r="C16" s="353" t="s">
        <v>526</v>
      </c>
      <c r="D16" s="357" t="s">
        <v>517</v>
      </c>
      <c r="E16" s="358">
        <f t="shared" si="2"/>
        <v>100</v>
      </c>
      <c r="F16" s="359" t="s">
        <v>475</v>
      </c>
      <c r="G16" s="385">
        <f>P111</f>
        <v>74.52</v>
      </c>
      <c r="H16" s="386" t="str">
        <f>IF(G16&gt;=$E16,"PASS","FAIL")</f>
        <v>FAIL</v>
      </c>
      <c r="I16" s="338">
        <f t="shared" si="3"/>
        <v>139.29</v>
      </c>
      <c r="J16" s="384" t="str">
        <f>IF(I16&gt;=$E16,"PASS","FAIL")</f>
        <v>PASS</v>
      </c>
      <c r="M16" s="364" t="s">
        <v>533</v>
      </c>
      <c r="N16" s="202">
        <v>4.22</v>
      </c>
      <c r="O16" s="202">
        <v>4.7590000000000003</v>
      </c>
      <c r="P16" s="202">
        <v>5.6470000000000002</v>
      </c>
      <c r="Q16" s="202">
        <v>6.149</v>
      </c>
      <c r="R16" s="202">
        <v>5.6429999999999998</v>
      </c>
      <c r="S16" s="202">
        <v>4.758</v>
      </c>
      <c r="T16" s="202">
        <v>4.2190000000000003</v>
      </c>
      <c r="U16" s="202">
        <v>3.9</v>
      </c>
      <c r="V16" s="202">
        <v>3.8250000000000002</v>
      </c>
      <c r="W16" s="202">
        <v>4.008</v>
      </c>
      <c r="X16" s="202">
        <v>4.601</v>
      </c>
      <c r="Y16" s="202">
        <v>6.4139999999999997</v>
      </c>
      <c r="Z16" s="202">
        <v>7.0039999999999996</v>
      </c>
      <c r="AA16" s="202">
        <v>6.6079999999999997</v>
      </c>
      <c r="AB16" s="202">
        <v>5.15</v>
      </c>
      <c r="AC16" s="202">
        <v>4.5380000000000003</v>
      </c>
      <c r="AD16" s="202">
        <v>3.8969999999999998</v>
      </c>
      <c r="AE16" s="202">
        <v>3.512</v>
      </c>
      <c r="AF16" s="202">
        <v>3.74</v>
      </c>
      <c r="AG16" s="202">
        <v>4.3339999999999996</v>
      </c>
      <c r="AH16" s="202">
        <v>5.9210000000000003</v>
      </c>
      <c r="AI16" s="337">
        <v>7.5679999999999996</v>
      </c>
      <c r="AL16" s="364" t="s">
        <v>533</v>
      </c>
      <c r="AM16" s="202">
        <v>5.1909999999999998</v>
      </c>
      <c r="AN16" s="202">
        <v>5.452</v>
      </c>
      <c r="AO16" s="202">
        <v>11.121</v>
      </c>
      <c r="AP16" s="202">
        <v>11.061</v>
      </c>
      <c r="AQ16" s="202">
        <v>11.122</v>
      </c>
      <c r="AR16" s="202">
        <v>5.4530000000000003</v>
      </c>
      <c r="AS16" s="202">
        <v>5.1920000000000002</v>
      </c>
      <c r="AT16" s="202">
        <v>4.8979999999999997</v>
      </c>
      <c r="AU16" s="202">
        <v>4.6310000000000002</v>
      </c>
      <c r="AV16" s="202">
        <v>4.5709999999999997</v>
      </c>
      <c r="AW16" s="202">
        <v>6.0650000000000004</v>
      </c>
      <c r="AX16" s="202">
        <v>9.4730000000000008</v>
      </c>
      <c r="AY16" s="202">
        <v>9.5129999999999999</v>
      </c>
      <c r="AZ16" s="202">
        <v>6.7240000000000002</v>
      </c>
      <c r="BA16" s="202">
        <v>5.7210000000000001</v>
      </c>
      <c r="BB16" s="202">
        <v>4.6829999999999998</v>
      </c>
      <c r="BC16" s="202">
        <v>4.234</v>
      </c>
      <c r="BD16" s="202">
        <v>4.2380000000000004</v>
      </c>
      <c r="BE16" s="202">
        <v>4.5270000000000001</v>
      </c>
      <c r="BF16" s="202">
        <v>5.2690000000000001</v>
      </c>
      <c r="BG16" s="202">
        <v>7.2590000000000003</v>
      </c>
      <c r="BH16" s="337">
        <v>12.247999999999999</v>
      </c>
    </row>
    <row r="17" spans="12:60" x14ac:dyDescent="0.25">
      <c r="M17" s="364" t="s">
        <v>534</v>
      </c>
      <c r="N17" s="202">
        <v>97.188999999999993</v>
      </c>
      <c r="O17" s="202">
        <v>105.76900000000001</v>
      </c>
      <c r="P17" s="202">
        <v>121.458</v>
      </c>
      <c r="Q17" s="202">
        <v>122.85299999999999</v>
      </c>
      <c r="R17" s="202">
        <v>122.32299999999999</v>
      </c>
      <c r="S17" s="202">
        <v>105.78100000000001</v>
      </c>
      <c r="T17" s="202">
        <v>98.424000000000007</v>
      </c>
      <c r="U17" s="202">
        <v>93.058999999999997</v>
      </c>
      <c r="V17" s="202">
        <v>91.317999999999998</v>
      </c>
      <c r="W17" s="202">
        <v>91.9</v>
      </c>
      <c r="X17" s="202">
        <v>96.093999999999994</v>
      </c>
      <c r="Y17" s="202">
        <v>111.173</v>
      </c>
      <c r="Z17" s="202">
        <v>126.71899999999999</v>
      </c>
      <c r="AA17" s="202">
        <v>115.68</v>
      </c>
      <c r="AB17" s="202">
        <v>88.411000000000001</v>
      </c>
      <c r="AC17" s="202">
        <v>81.545000000000002</v>
      </c>
      <c r="AD17" s="202">
        <v>79.33</v>
      </c>
      <c r="AE17" s="202">
        <v>85.256</v>
      </c>
      <c r="AF17" s="202">
        <v>89.093000000000004</v>
      </c>
      <c r="AG17" s="202">
        <v>97.968999999999994</v>
      </c>
      <c r="AH17" s="202">
        <v>121.96599999999999</v>
      </c>
      <c r="AI17" s="337">
        <v>138.18700000000001</v>
      </c>
      <c r="AL17" s="364" t="s">
        <v>534</v>
      </c>
      <c r="AM17" s="202">
        <v>130.35</v>
      </c>
      <c r="AN17" s="202">
        <v>129.91999999999999</v>
      </c>
      <c r="AO17" s="202">
        <v>157.53800000000001</v>
      </c>
      <c r="AP17" s="202">
        <v>168.005</v>
      </c>
      <c r="AQ17" s="202">
        <v>156.03100000000001</v>
      </c>
      <c r="AR17" s="202">
        <v>129.31899999999999</v>
      </c>
      <c r="AS17" s="202">
        <v>130.46</v>
      </c>
      <c r="AT17" s="202">
        <v>132.209</v>
      </c>
      <c r="AU17" s="202">
        <v>134.137</v>
      </c>
      <c r="AV17" s="202">
        <v>139.465</v>
      </c>
      <c r="AW17" s="202">
        <v>147.55099999999999</v>
      </c>
      <c r="AX17" s="202">
        <v>163.999</v>
      </c>
      <c r="AY17" s="202">
        <v>161.73599999999999</v>
      </c>
      <c r="AZ17" s="202">
        <v>122.164</v>
      </c>
      <c r="BA17" s="202">
        <v>106.307</v>
      </c>
      <c r="BB17" s="202">
        <v>104.571</v>
      </c>
      <c r="BC17" s="202">
        <v>100.91800000000001</v>
      </c>
      <c r="BD17" s="202">
        <v>100.461</v>
      </c>
      <c r="BE17" s="202">
        <v>103.02200000000001</v>
      </c>
      <c r="BF17" s="202">
        <v>110.688</v>
      </c>
      <c r="BG17" s="202">
        <v>133.756</v>
      </c>
      <c r="BH17" s="337">
        <v>192.88</v>
      </c>
    </row>
    <row r="18" spans="12:60" x14ac:dyDescent="0.25">
      <c r="M18" s="364" t="s">
        <v>535</v>
      </c>
      <c r="N18" s="202">
        <v>81.078000000000003</v>
      </c>
      <c r="O18" s="202">
        <v>93.36</v>
      </c>
      <c r="P18" s="202">
        <v>115.60299999999999</v>
      </c>
      <c r="Q18" s="202">
        <v>118.798</v>
      </c>
      <c r="R18" s="202">
        <v>116.53</v>
      </c>
      <c r="S18" s="202">
        <v>93.245000000000005</v>
      </c>
      <c r="T18" s="202">
        <v>81.102000000000004</v>
      </c>
      <c r="U18" s="202">
        <v>73.486999999999995</v>
      </c>
      <c r="V18" s="202">
        <v>69.2</v>
      </c>
      <c r="W18" s="202">
        <v>68.617000000000004</v>
      </c>
      <c r="X18" s="202">
        <v>73.533000000000001</v>
      </c>
      <c r="Y18" s="202">
        <v>90.858999999999995</v>
      </c>
      <c r="Z18" s="202">
        <v>106.848</v>
      </c>
      <c r="AA18" s="202">
        <v>95.754000000000005</v>
      </c>
      <c r="AB18" s="202">
        <v>67.61</v>
      </c>
      <c r="AC18" s="202">
        <v>57.526000000000003</v>
      </c>
      <c r="AD18" s="202">
        <v>53.281999999999996</v>
      </c>
      <c r="AE18" s="202">
        <v>54.628999999999998</v>
      </c>
      <c r="AF18" s="202">
        <v>57.783999999999999</v>
      </c>
      <c r="AG18" s="202">
        <v>66.480999999999995</v>
      </c>
      <c r="AH18" s="202">
        <v>90.091999999999999</v>
      </c>
      <c r="AI18" s="337">
        <v>107.173</v>
      </c>
      <c r="AL18" s="364" t="s">
        <v>535</v>
      </c>
      <c r="AM18" s="202">
        <v>40.953000000000003</v>
      </c>
      <c r="AN18" s="202">
        <v>37.743000000000002</v>
      </c>
      <c r="AO18" s="202">
        <v>52.97</v>
      </c>
      <c r="AP18" s="202">
        <v>55.898000000000003</v>
      </c>
      <c r="AQ18" s="202">
        <v>53.009</v>
      </c>
      <c r="AR18" s="202">
        <v>37.768000000000001</v>
      </c>
      <c r="AS18" s="202">
        <v>40.987000000000002</v>
      </c>
      <c r="AT18" s="202">
        <v>46.298000000000002</v>
      </c>
      <c r="AU18" s="202">
        <v>55.051000000000002</v>
      </c>
      <c r="AV18" s="202">
        <v>70.64</v>
      </c>
      <c r="AW18" s="202">
        <v>99.44</v>
      </c>
      <c r="AX18" s="202">
        <v>148.756</v>
      </c>
      <c r="AY18" s="202">
        <v>146.637</v>
      </c>
      <c r="AZ18" s="202">
        <v>101.119</v>
      </c>
      <c r="BA18" s="202">
        <v>80.593999999999994</v>
      </c>
      <c r="BB18" s="202">
        <v>71.001999999999995</v>
      </c>
      <c r="BC18" s="202">
        <v>66.027000000000001</v>
      </c>
      <c r="BD18" s="202">
        <v>65.527000000000001</v>
      </c>
      <c r="BE18" s="202">
        <v>69.242999999999995</v>
      </c>
      <c r="BF18" s="202">
        <v>79.536000000000001</v>
      </c>
      <c r="BG18" s="202">
        <v>107.749</v>
      </c>
      <c r="BH18" s="337">
        <v>172.60300000000001</v>
      </c>
    </row>
    <row r="19" spans="12:60" x14ac:dyDescent="0.25">
      <c r="M19" s="364" t="s">
        <v>120</v>
      </c>
      <c r="N19" s="202">
        <v>0.71199999999999997</v>
      </c>
      <c r="O19" s="202">
        <v>0.68700000000000006</v>
      </c>
      <c r="P19" s="202">
        <v>0.66400000000000003</v>
      </c>
      <c r="Q19" s="202">
        <v>0.69099999999999995</v>
      </c>
      <c r="R19" s="202">
        <v>0.66700000000000004</v>
      </c>
      <c r="S19" s="202">
        <v>0.68700000000000006</v>
      </c>
      <c r="T19" s="202">
        <v>0.71299999999999997</v>
      </c>
      <c r="U19" s="202">
        <v>0.72199999999999998</v>
      </c>
      <c r="V19" s="202">
        <v>0.72299999999999998</v>
      </c>
      <c r="W19" s="202">
        <v>0.71</v>
      </c>
      <c r="X19" s="202">
        <v>0.69299999999999995</v>
      </c>
      <c r="Y19" s="202">
        <v>0.65500000000000003</v>
      </c>
      <c r="Z19" s="202">
        <v>0.502</v>
      </c>
      <c r="AA19" s="202">
        <v>0.495</v>
      </c>
      <c r="AB19" s="202">
        <v>0.57799999999999996</v>
      </c>
      <c r="AC19" s="202">
        <v>0.59799999999999998</v>
      </c>
      <c r="AD19" s="202">
        <v>0.61599999999999999</v>
      </c>
      <c r="AE19" s="202">
        <v>0.83899999999999997</v>
      </c>
      <c r="AF19" s="202">
        <v>0.84199999999999997</v>
      </c>
      <c r="AG19" s="202">
        <v>0.84499999999999997</v>
      </c>
      <c r="AH19" s="202">
        <v>0.85</v>
      </c>
      <c r="AI19" s="337">
        <v>0.83599999999999997</v>
      </c>
      <c r="AL19" s="364" t="s">
        <v>120</v>
      </c>
      <c r="AM19" s="202">
        <v>0.63800000000000001</v>
      </c>
      <c r="AN19" s="202">
        <v>0.63900000000000001</v>
      </c>
      <c r="AO19" s="202">
        <v>0.61399999999999999</v>
      </c>
      <c r="AP19" s="202">
        <v>0.621</v>
      </c>
      <c r="AQ19" s="202">
        <v>0.61299999999999999</v>
      </c>
      <c r="AR19" s="202">
        <v>0.63800000000000001</v>
      </c>
      <c r="AS19" s="202">
        <v>0.63800000000000001</v>
      </c>
      <c r="AT19" s="202">
        <v>0.63700000000000001</v>
      </c>
      <c r="AU19" s="202">
        <v>0.63500000000000001</v>
      </c>
      <c r="AV19" s="202">
        <v>0.63100000000000001</v>
      </c>
      <c r="AW19" s="202">
        <v>0.623</v>
      </c>
      <c r="AX19" s="202">
        <v>0.625</v>
      </c>
      <c r="AY19" s="202">
        <v>0.60899999999999999</v>
      </c>
      <c r="AZ19" s="202">
        <v>0.64300000000000002</v>
      </c>
      <c r="BA19" s="202">
        <v>0.67400000000000004</v>
      </c>
      <c r="BB19" s="202">
        <v>0.83399999999999996</v>
      </c>
      <c r="BC19" s="202">
        <v>0.83499999999999996</v>
      </c>
      <c r="BD19" s="202">
        <v>0.83299999999999996</v>
      </c>
      <c r="BE19" s="202">
        <v>0.83</v>
      </c>
      <c r="BF19" s="202">
        <v>0.82599999999999996</v>
      </c>
      <c r="BG19" s="202">
        <v>0.81799999999999995</v>
      </c>
      <c r="BH19" s="337">
        <v>0.79500000000000004</v>
      </c>
    </row>
    <row r="20" spans="12:60" x14ac:dyDescent="0.25">
      <c r="M20" s="364" t="s">
        <v>121</v>
      </c>
      <c r="N20" s="202">
        <v>0.42699999999999999</v>
      </c>
      <c r="O20" s="202">
        <v>0.50900000000000001</v>
      </c>
      <c r="P20" s="202">
        <v>0.47</v>
      </c>
      <c r="Q20" s="202">
        <v>0.45600000000000002</v>
      </c>
      <c r="R20" s="202">
        <v>0.47199999999999998</v>
      </c>
      <c r="S20" s="202">
        <v>0.51</v>
      </c>
      <c r="T20" s="202">
        <v>0.42699999999999999</v>
      </c>
      <c r="U20" s="202">
        <v>0.39400000000000002</v>
      </c>
      <c r="V20" s="202">
        <v>0.376</v>
      </c>
      <c r="W20" s="202">
        <v>0.36099999999999999</v>
      </c>
      <c r="X20" s="202">
        <v>0.34799999999999998</v>
      </c>
      <c r="Y20" s="202">
        <v>0.32800000000000001</v>
      </c>
      <c r="Z20" s="202">
        <v>0.49299999999999999</v>
      </c>
      <c r="AA20" s="202">
        <v>0.248</v>
      </c>
      <c r="AB20" s="202">
        <v>0.26500000000000001</v>
      </c>
      <c r="AC20" s="202">
        <v>0.26300000000000001</v>
      </c>
      <c r="AD20" s="202">
        <v>0.29199999999999998</v>
      </c>
      <c r="AE20" s="202">
        <v>0.42</v>
      </c>
      <c r="AF20" s="202">
        <v>0.42099999999999999</v>
      </c>
      <c r="AG20" s="202">
        <v>0.42199999999999999</v>
      </c>
      <c r="AH20" s="202">
        <v>0.42499999999999999</v>
      </c>
      <c r="AI20" s="337">
        <v>0.83599999999999997</v>
      </c>
      <c r="AL20" s="364" t="s">
        <v>121</v>
      </c>
      <c r="AM20" s="202">
        <v>0.42699999999999999</v>
      </c>
      <c r="AN20" s="202">
        <v>0.42499999999999999</v>
      </c>
      <c r="AO20" s="202">
        <v>0.30599999999999999</v>
      </c>
      <c r="AP20" s="202">
        <v>0.4</v>
      </c>
      <c r="AQ20" s="202">
        <v>0.30599999999999999</v>
      </c>
      <c r="AR20" s="202">
        <v>0.42499999999999999</v>
      </c>
      <c r="AS20" s="202">
        <v>0.42599999999999999</v>
      </c>
      <c r="AT20" s="202">
        <v>0.43</v>
      </c>
      <c r="AU20" s="202">
        <v>0.434</v>
      </c>
      <c r="AV20" s="202">
        <v>0.42899999999999999</v>
      </c>
      <c r="AW20" s="202">
        <v>0.43</v>
      </c>
      <c r="AX20" s="202">
        <v>0.45200000000000001</v>
      </c>
      <c r="AY20" s="202">
        <v>0.48299999999999998</v>
      </c>
      <c r="AZ20" s="202">
        <v>0.35599999999999998</v>
      </c>
      <c r="BA20" s="202">
        <v>0.33900000000000002</v>
      </c>
      <c r="BB20" s="202">
        <v>0.41699999999999998</v>
      </c>
      <c r="BC20" s="202">
        <v>0.41699999999999998</v>
      </c>
      <c r="BD20" s="202">
        <v>0.41699999999999998</v>
      </c>
      <c r="BE20" s="202">
        <v>0.41499999999999998</v>
      </c>
      <c r="BF20" s="202">
        <v>0.41299999999999998</v>
      </c>
      <c r="BG20" s="202">
        <v>0.40899999999999997</v>
      </c>
      <c r="BH20" s="337">
        <v>0.79500000000000004</v>
      </c>
    </row>
    <row r="21" spans="12:60" x14ac:dyDescent="0.25">
      <c r="M21" s="364" t="s">
        <v>536</v>
      </c>
      <c r="N21" s="202">
        <v>10.523</v>
      </c>
      <c r="O21" s="202">
        <v>10.974</v>
      </c>
      <c r="P21" s="202">
        <v>11.542999999999999</v>
      </c>
      <c r="Q21" s="202">
        <v>12.006</v>
      </c>
      <c r="R21" s="202">
        <v>11.494999999999999</v>
      </c>
      <c r="S21" s="202">
        <v>10.97</v>
      </c>
      <c r="T21" s="202">
        <v>10.515000000000001</v>
      </c>
      <c r="U21" s="202">
        <v>10.167</v>
      </c>
      <c r="V21" s="202">
        <v>9.8829999999999991</v>
      </c>
      <c r="W21" s="202">
        <v>9.7159999999999993</v>
      </c>
      <c r="X21" s="202">
        <v>9.6180000000000003</v>
      </c>
      <c r="Y21" s="202">
        <v>9.5470000000000006</v>
      </c>
      <c r="Z21" s="202">
        <v>10.132999999999999</v>
      </c>
      <c r="AA21" s="202">
        <v>11.734999999999999</v>
      </c>
      <c r="AB21" s="202">
        <v>12.914</v>
      </c>
      <c r="AC21" s="202">
        <v>13.427</v>
      </c>
      <c r="AD21" s="202">
        <v>13.715999999999999</v>
      </c>
      <c r="AE21" s="202">
        <v>13.332000000000001</v>
      </c>
      <c r="AF21" s="202">
        <v>13.718999999999999</v>
      </c>
      <c r="AG21" s="202">
        <v>14.106999999999999</v>
      </c>
      <c r="AH21" s="202">
        <v>14.561</v>
      </c>
      <c r="AI21" s="337">
        <v>14.99</v>
      </c>
      <c r="AL21" s="364" t="s">
        <v>536</v>
      </c>
      <c r="AM21" s="202">
        <v>9.65</v>
      </c>
      <c r="AN21" s="202">
        <v>9.6639999999999997</v>
      </c>
      <c r="AO21" s="202">
        <v>9.6470000000000002</v>
      </c>
      <c r="AP21" s="202">
        <v>9.5549999999999997</v>
      </c>
      <c r="AQ21" s="202">
        <v>9.6609999999999996</v>
      </c>
      <c r="AR21" s="202">
        <v>9.6769999999999996</v>
      </c>
      <c r="AS21" s="202">
        <v>9.6630000000000003</v>
      </c>
      <c r="AT21" s="202">
        <v>9.64</v>
      </c>
      <c r="AU21" s="202">
        <v>9.5969999999999995</v>
      </c>
      <c r="AV21" s="202">
        <v>9.5050000000000008</v>
      </c>
      <c r="AW21" s="202">
        <v>9.2690000000000001</v>
      </c>
      <c r="AX21" s="202">
        <v>8.8800000000000008</v>
      </c>
      <c r="AY21" s="202">
        <v>9.2690000000000001</v>
      </c>
      <c r="AZ21" s="202">
        <v>10.326000000000001</v>
      </c>
      <c r="BA21" s="202">
        <v>10.763</v>
      </c>
      <c r="BB21" s="202">
        <v>10.601000000000001</v>
      </c>
      <c r="BC21" s="202">
        <v>10.875</v>
      </c>
      <c r="BD21" s="202">
        <v>11.069000000000001</v>
      </c>
      <c r="BE21" s="202">
        <v>11.224</v>
      </c>
      <c r="BF21" s="202">
        <v>11.361000000000001</v>
      </c>
      <c r="BG21" s="202">
        <v>11.494</v>
      </c>
      <c r="BH21" s="337">
        <v>11.603</v>
      </c>
    </row>
    <row r="22" spans="12:60" x14ac:dyDescent="0.25">
      <c r="L22" s="379"/>
      <c r="M22" s="364" t="s">
        <v>537</v>
      </c>
      <c r="N22" s="202">
        <v>11.43</v>
      </c>
      <c r="O22" s="202">
        <v>11.632999999999999</v>
      </c>
      <c r="P22" s="202">
        <v>11.372</v>
      </c>
      <c r="Q22" s="202">
        <v>11.765000000000001</v>
      </c>
      <c r="R22" s="202">
        <v>11.266999999999999</v>
      </c>
      <c r="S22" s="202">
        <v>11.645</v>
      </c>
      <c r="T22" s="202">
        <v>11.423</v>
      </c>
      <c r="U22" s="202">
        <v>10.929</v>
      </c>
      <c r="V22" s="202">
        <v>10.8</v>
      </c>
      <c r="W22" s="202">
        <v>10.736000000000001</v>
      </c>
      <c r="X22" s="202">
        <v>10.61</v>
      </c>
      <c r="Y22" s="202">
        <v>10.87</v>
      </c>
      <c r="Z22" s="202">
        <v>11.673</v>
      </c>
      <c r="AA22" s="202">
        <v>11.635999999999999</v>
      </c>
      <c r="AB22" s="202">
        <v>13.151999999999999</v>
      </c>
      <c r="AC22" s="202">
        <v>13.679</v>
      </c>
      <c r="AD22" s="202">
        <v>14.010999999999999</v>
      </c>
      <c r="AE22" s="202">
        <v>13.663</v>
      </c>
      <c r="AF22" s="202">
        <v>13.987</v>
      </c>
      <c r="AG22" s="202">
        <v>14.308</v>
      </c>
      <c r="AH22" s="202">
        <v>14.678000000000001</v>
      </c>
      <c r="AI22" s="337">
        <v>14.882</v>
      </c>
      <c r="AK22" s="379"/>
      <c r="AL22" s="364" t="s">
        <v>537</v>
      </c>
      <c r="AM22" s="202">
        <v>9.8940000000000001</v>
      </c>
      <c r="AN22" s="202">
        <v>9.8970000000000002</v>
      </c>
      <c r="AO22" s="202">
        <v>9.6630000000000003</v>
      </c>
      <c r="AP22" s="202">
        <v>9.5739999999999998</v>
      </c>
      <c r="AQ22" s="202">
        <v>9.6639999999999997</v>
      </c>
      <c r="AR22" s="202">
        <v>9.8960000000000008</v>
      </c>
      <c r="AS22" s="202">
        <v>9.891</v>
      </c>
      <c r="AT22" s="202">
        <v>9.891</v>
      </c>
      <c r="AU22" s="202">
        <v>9.8960000000000008</v>
      </c>
      <c r="AV22" s="202">
        <v>9.8930000000000007</v>
      </c>
      <c r="AW22" s="202">
        <v>10.012</v>
      </c>
      <c r="AX22" s="202">
        <v>10.212</v>
      </c>
      <c r="AY22" s="202">
        <v>10.391999999999999</v>
      </c>
      <c r="AZ22" s="202">
        <v>10.823</v>
      </c>
      <c r="BA22" s="202">
        <v>11.154999999999999</v>
      </c>
      <c r="BB22" s="202">
        <v>10.907</v>
      </c>
      <c r="BC22" s="202">
        <v>11.118</v>
      </c>
      <c r="BD22" s="202">
        <v>11.263</v>
      </c>
      <c r="BE22" s="202">
        <v>11.372</v>
      </c>
      <c r="BF22" s="202">
        <v>11.465</v>
      </c>
      <c r="BG22" s="202">
        <v>11.564</v>
      </c>
      <c r="BH22" s="337">
        <v>11.6</v>
      </c>
    </row>
    <row r="23" spans="12:60" x14ac:dyDescent="0.25">
      <c r="M23" s="364" t="s">
        <v>538</v>
      </c>
      <c r="N23" s="202">
        <v>30</v>
      </c>
      <c r="O23" s="202">
        <v>20</v>
      </c>
      <c r="P23" s="202">
        <v>10</v>
      </c>
      <c r="Q23" s="202">
        <v>0</v>
      </c>
      <c r="R23" s="202">
        <v>10</v>
      </c>
      <c r="S23" s="202">
        <v>20</v>
      </c>
      <c r="T23" s="202">
        <v>30</v>
      </c>
      <c r="U23" s="202">
        <v>40</v>
      </c>
      <c r="V23" s="202">
        <v>50</v>
      </c>
      <c r="W23" s="202">
        <v>60</v>
      </c>
      <c r="X23" s="202">
        <v>70</v>
      </c>
      <c r="Y23" s="202">
        <v>80</v>
      </c>
      <c r="Z23" s="202">
        <v>90</v>
      </c>
      <c r="AA23" s="202">
        <v>100</v>
      </c>
      <c r="AB23" s="202">
        <v>110</v>
      </c>
      <c r="AC23" s="202">
        <v>120</v>
      </c>
      <c r="AD23" s="202">
        <v>130</v>
      </c>
      <c r="AE23" s="202">
        <v>140</v>
      </c>
      <c r="AF23" s="202">
        <v>150</v>
      </c>
      <c r="AG23" s="202">
        <v>160</v>
      </c>
      <c r="AH23" s="202">
        <v>170</v>
      </c>
      <c r="AI23" s="337">
        <v>180</v>
      </c>
      <c r="AL23" s="364" t="s">
        <v>538</v>
      </c>
      <c r="AM23" s="202">
        <v>30</v>
      </c>
      <c r="AN23" s="202">
        <v>20</v>
      </c>
      <c r="AO23" s="202">
        <v>10</v>
      </c>
      <c r="AP23" s="202">
        <v>0</v>
      </c>
      <c r="AQ23" s="202">
        <v>10</v>
      </c>
      <c r="AR23" s="202">
        <v>20</v>
      </c>
      <c r="AS23" s="202">
        <v>30</v>
      </c>
      <c r="AT23" s="202">
        <v>40</v>
      </c>
      <c r="AU23" s="202">
        <v>50</v>
      </c>
      <c r="AV23" s="202">
        <v>60</v>
      </c>
      <c r="AW23" s="202">
        <v>70</v>
      </c>
      <c r="AX23" s="202">
        <v>80</v>
      </c>
      <c r="AY23" s="202">
        <v>90</v>
      </c>
      <c r="AZ23" s="202">
        <v>100</v>
      </c>
      <c r="BA23" s="202">
        <v>110</v>
      </c>
      <c r="BB23" s="202">
        <v>120</v>
      </c>
      <c r="BC23" s="202">
        <v>130</v>
      </c>
      <c r="BD23" s="202">
        <v>140</v>
      </c>
      <c r="BE23" s="202">
        <v>150</v>
      </c>
      <c r="BF23" s="202">
        <v>160</v>
      </c>
      <c r="BG23" s="202">
        <v>170</v>
      </c>
      <c r="BH23" s="337">
        <v>180</v>
      </c>
    </row>
    <row r="24" spans="12:60" ht="15.75" thickBot="1" x14ac:dyDescent="0.3">
      <c r="M24" s="365" t="s">
        <v>539</v>
      </c>
      <c r="N24" s="332">
        <v>0</v>
      </c>
      <c r="O24" s="332">
        <v>0</v>
      </c>
      <c r="P24" s="332">
        <v>0</v>
      </c>
      <c r="Q24" s="332">
        <v>0</v>
      </c>
      <c r="R24" s="332">
        <v>0</v>
      </c>
      <c r="S24" s="332">
        <v>0</v>
      </c>
      <c r="T24" s="332">
        <v>0</v>
      </c>
      <c r="U24" s="332">
        <v>0</v>
      </c>
      <c r="V24" s="332">
        <v>0</v>
      </c>
      <c r="W24" s="332">
        <v>0</v>
      </c>
      <c r="X24" s="332">
        <v>0</v>
      </c>
      <c r="Y24" s="332">
        <v>0</v>
      </c>
      <c r="Z24" s="332">
        <v>0</v>
      </c>
      <c r="AA24" s="332">
        <v>0</v>
      </c>
      <c r="AB24" s="332">
        <v>0</v>
      </c>
      <c r="AC24" s="332">
        <v>0</v>
      </c>
      <c r="AD24" s="332">
        <v>0</v>
      </c>
      <c r="AE24" s="332">
        <v>0</v>
      </c>
      <c r="AF24" s="332">
        <v>0</v>
      </c>
      <c r="AG24" s="332">
        <v>0</v>
      </c>
      <c r="AH24" s="332">
        <v>0</v>
      </c>
      <c r="AI24" s="360">
        <v>0</v>
      </c>
      <c r="AL24" s="365" t="s">
        <v>539</v>
      </c>
      <c r="AM24" s="332">
        <v>0</v>
      </c>
      <c r="AN24" s="332">
        <v>0</v>
      </c>
      <c r="AO24" s="332">
        <v>0</v>
      </c>
      <c r="AP24" s="332">
        <v>0</v>
      </c>
      <c r="AQ24" s="332">
        <v>0</v>
      </c>
      <c r="AR24" s="332">
        <v>0</v>
      </c>
      <c r="AS24" s="332">
        <v>0</v>
      </c>
      <c r="AT24" s="332">
        <v>0</v>
      </c>
      <c r="AU24" s="332">
        <v>0</v>
      </c>
      <c r="AV24" s="332">
        <v>0</v>
      </c>
      <c r="AW24" s="332">
        <v>0</v>
      </c>
      <c r="AX24" s="332">
        <v>0</v>
      </c>
      <c r="AY24" s="332" t="s">
        <v>596</v>
      </c>
      <c r="AZ24" s="332">
        <v>0</v>
      </c>
      <c r="BA24" s="332">
        <v>0</v>
      </c>
      <c r="BB24" s="332">
        <v>0</v>
      </c>
      <c r="BC24" s="332">
        <v>0</v>
      </c>
      <c r="BD24" s="332">
        <v>0</v>
      </c>
      <c r="BE24" s="332">
        <v>0</v>
      </c>
      <c r="BF24" s="332">
        <v>0</v>
      </c>
      <c r="BG24" s="332">
        <v>0</v>
      </c>
      <c r="BH24" s="360">
        <v>0</v>
      </c>
    </row>
    <row r="25" spans="12:60" ht="15.75" thickBot="1" x14ac:dyDescent="0.3"/>
    <row r="26" spans="12:60" x14ac:dyDescent="0.25">
      <c r="L26" s="710" t="s">
        <v>440</v>
      </c>
      <c r="M26" s="367" t="s">
        <v>441</v>
      </c>
      <c r="N26" s="368"/>
      <c r="O26" s="368"/>
      <c r="P26" s="368"/>
      <c r="Q26" s="368" t="s">
        <v>442</v>
      </c>
      <c r="R26" s="369"/>
      <c r="AK26" s="710" t="s">
        <v>440</v>
      </c>
      <c r="AL26" s="367" t="s">
        <v>441</v>
      </c>
      <c r="AM26" s="368"/>
      <c r="AN26" s="368"/>
      <c r="AO26" s="368"/>
      <c r="AP26" s="368" t="s">
        <v>442</v>
      </c>
      <c r="AQ26" s="369"/>
    </row>
    <row r="27" spans="12:60" x14ac:dyDescent="0.25">
      <c r="L27" s="698"/>
      <c r="M27" s="366" t="s">
        <v>443</v>
      </c>
      <c r="N27" s="198"/>
      <c r="O27" s="198"/>
      <c r="P27" s="198"/>
      <c r="Q27" s="198"/>
      <c r="R27" s="200"/>
      <c r="AK27" s="698"/>
      <c r="AL27" s="366" t="s">
        <v>443</v>
      </c>
      <c r="AM27" s="198"/>
      <c r="AN27" s="198"/>
      <c r="AO27" s="198"/>
      <c r="AP27" s="198"/>
      <c r="AQ27" s="200"/>
    </row>
    <row r="28" spans="12:60" x14ac:dyDescent="0.25">
      <c r="L28" s="698"/>
      <c r="M28" s="366" t="s">
        <v>444</v>
      </c>
      <c r="N28" s="198">
        <v>0</v>
      </c>
      <c r="O28" s="198" t="s">
        <v>445</v>
      </c>
      <c r="P28" s="198">
        <v>0</v>
      </c>
      <c r="Q28" s="198"/>
      <c r="R28" s="200"/>
      <c r="AK28" s="698"/>
      <c r="AL28" s="366" t="s">
        <v>444</v>
      </c>
      <c r="AM28" s="198">
        <v>0</v>
      </c>
      <c r="AN28" s="198" t="s">
        <v>445</v>
      </c>
      <c r="AO28" s="198">
        <v>0</v>
      </c>
      <c r="AP28" s="198"/>
      <c r="AQ28" s="200"/>
    </row>
    <row r="29" spans="12:60" x14ac:dyDescent="0.25">
      <c r="L29" s="698"/>
      <c r="M29" s="366" t="s">
        <v>446</v>
      </c>
      <c r="N29" s="198"/>
      <c r="O29" s="198"/>
      <c r="P29" s="198"/>
      <c r="Q29" s="198"/>
      <c r="R29" s="200"/>
      <c r="AK29" s="698"/>
      <c r="AL29" s="366" t="s">
        <v>446</v>
      </c>
      <c r="AM29" s="198"/>
      <c r="AN29" s="198"/>
      <c r="AO29" s="198"/>
      <c r="AP29" s="198"/>
      <c r="AQ29" s="200"/>
    </row>
    <row r="30" spans="12:60" x14ac:dyDescent="0.25">
      <c r="L30" s="698"/>
      <c r="M30" s="366" t="s">
        <v>444</v>
      </c>
      <c r="N30" s="198">
        <v>30</v>
      </c>
      <c r="O30" s="198" t="s">
        <v>445</v>
      </c>
      <c r="P30" s="198">
        <v>30</v>
      </c>
      <c r="Q30" s="198"/>
      <c r="R30" s="200"/>
      <c r="AK30" s="698"/>
      <c r="AL30" s="366" t="s">
        <v>444</v>
      </c>
      <c r="AM30" s="198">
        <v>30</v>
      </c>
      <c r="AN30" s="198" t="s">
        <v>445</v>
      </c>
      <c r="AO30" s="198">
        <v>30</v>
      </c>
      <c r="AP30" s="198"/>
      <c r="AQ30" s="200"/>
    </row>
    <row r="31" spans="12:60" x14ac:dyDescent="0.25">
      <c r="L31" s="698"/>
      <c r="M31" s="366" t="s">
        <v>447</v>
      </c>
      <c r="N31" s="198">
        <v>163.30000000000001</v>
      </c>
      <c r="O31" s="198" t="s">
        <v>445</v>
      </c>
      <c r="P31" s="198"/>
      <c r="Q31" s="198"/>
      <c r="R31" s="200"/>
      <c r="AK31" s="698"/>
      <c r="AL31" s="366" t="s">
        <v>447</v>
      </c>
      <c r="AM31" s="198">
        <v>156.69999999999999</v>
      </c>
      <c r="AN31" s="198" t="s">
        <v>445</v>
      </c>
      <c r="AO31" s="198"/>
      <c r="AP31" s="198"/>
      <c r="AQ31" s="200"/>
    </row>
    <row r="32" spans="12:60" x14ac:dyDescent="0.25">
      <c r="L32" s="698"/>
      <c r="M32" s="366" t="s">
        <v>448</v>
      </c>
      <c r="N32" s="373">
        <v>3.1513</v>
      </c>
      <c r="O32" s="373" t="s">
        <v>449</v>
      </c>
      <c r="P32" s="373">
        <v>45.505200000000002</v>
      </c>
      <c r="Q32" s="373" t="s">
        <v>442</v>
      </c>
      <c r="R32" s="200">
        <v>1344.01</v>
      </c>
      <c r="AK32" s="698"/>
      <c r="AL32" s="366" t="s">
        <v>448</v>
      </c>
      <c r="AM32" s="373">
        <v>3.1513</v>
      </c>
      <c r="AN32" s="373" t="s">
        <v>449</v>
      </c>
      <c r="AO32" s="373">
        <v>112.215</v>
      </c>
      <c r="AP32" s="373" t="s">
        <v>442</v>
      </c>
      <c r="AQ32" s="200">
        <v>3460.91</v>
      </c>
    </row>
    <row r="33" spans="12:43" x14ac:dyDescent="0.25">
      <c r="L33" s="381"/>
      <c r="M33" s="376"/>
      <c r="N33" s="377"/>
      <c r="O33" s="377"/>
      <c r="P33" s="377"/>
      <c r="Q33" s="377"/>
      <c r="R33" s="382"/>
      <c r="AK33" s="381"/>
      <c r="AL33" s="376"/>
      <c r="AM33" s="377"/>
      <c r="AN33" s="377"/>
      <c r="AO33" s="377"/>
      <c r="AP33" s="377"/>
      <c r="AQ33" s="382"/>
    </row>
    <row r="34" spans="12:43" x14ac:dyDescent="0.25">
      <c r="L34" s="697" t="s">
        <v>440</v>
      </c>
      <c r="M34" s="374" t="s">
        <v>450</v>
      </c>
      <c r="N34" s="375"/>
      <c r="O34" s="375"/>
      <c r="P34" s="375"/>
      <c r="Q34" s="375" t="s">
        <v>442</v>
      </c>
      <c r="R34" s="383"/>
      <c r="AK34" s="697" t="s">
        <v>440</v>
      </c>
      <c r="AL34" s="374" t="s">
        <v>450</v>
      </c>
      <c r="AM34" s="375"/>
      <c r="AN34" s="375"/>
      <c r="AO34" s="375"/>
      <c r="AP34" s="375" t="s">
        <v>442</v>
      </c>
      <c r="AQ34" s="383"/>
    </row>
    <row r="35" spans="12:43" x14ac:dyDescent="0.25">
      <c r="L35" s="698"/>
      <c r="M35" s="366" t="s">
        <v>443</v>
      </c>
      <c r="N35" s="198"/>
      <c r="O35" s="198"/>
      <c r="P35" s="198"/>
      <c r="Q35" s="198"/>
      <c r="R35" s="200"/>
      <c r="AK35" s="698"/>
      <c r="AL35" s="366" t="s">
        <v>443</v>
      </c>
      <c r="AM35" s="198"/>
      <c r="AN35" s="198"/>
      <c r="AO35" s="198"/>
      <c r="AP35" s="198"/>
      <c r="AQ35" s="200"/>
    </row>
    <row r="36" spans="12:43" x14ac:dyDescent="0.25">
      <c r="L36" s="698"/>
      <c r="M36" s="366" t="s">
        <v>444</v>
      </c>
      <c r="N36" s="198">
        <v>0</v>
      </c>
      <c r="O36" s="198" t="s">
        <v>445</v>
      </c>
      <c r="P36" s="198">
        <v>0</v>
      </c>
      <c r="Q36" s="198"/>
      <c r="R36" s="200"/>
      <c r="AK36" s="698"/>
      <c r="AL36" s="366" t="s">
        <v>444</v>
      </c>
      <c r="AM36" s="198">
        <v>0</v>
      </c>
      <c r="AN36" s="198" t="s">
        <v>445</v>
      </c>
      <c r="AO36" s="198">
        <v>0</v>
      </c>
      <c r="AP36" s="198"/>
      <c r="AQ36" s="200"/>
    </row>
    <row r="37" spans="12:43" x14ac:dyDescent="0.25">
      <c r="L37" s="698"/>
      <c r="M37" s="366" t="s">
        <v>446</v>
      </c>
      <c r="N37" s="198"/>
      <c r="O37" s="198"/>
      <c r="P37" s="198"/>
      <c r="Q37" s="198"/>
      <c r="R37" s="200"/>
      <c r="AK37" s="698"/>
      <c r="AL37" s="366" t="s">
        <v>446</v>
      </c>
      <c r="AM37" s="198"/>
      <c r="AN37" s="198"/>
      <c r="AO37" s="198"/>
      <c r="AP37" s="198"/>
      <c r="AQ37" s="200"/>
    </row>
    <row r="38" spans="12:43" x14ac:dyDescent="0.25">
      <c r="L38" s="698"/>
      <c r="M38" s="366" t="s">
        <v>444</v>
      </c>
      <c r="N38" s="198">
        <v>40</v>
      </c>
      <c r="O38" s="198" t="s">
        <v>445</v>
      </c>
      <c r="P38" s="198">
        <v>40</v>
      </c>
      <c r="Q38" s="198"/>
      <c r="R38" s="200"/>
      <c r="AK38" s="698"/>
      <c r="AL38" s="366" t="s">
        <v>444</v>
      </c>
      <c r="AM38" s="198">
        <v>40</v>
      </c>
      <c r="AN38" s="198" t="s">
        <v>445</v>
      </c>
      <c r="AO38" s="198">
        <v>40</v>
      </c>
      <c r="AP38" s="198"/>
      <c r="AQ38" s="200"/>
    </row>
    <row r="39" spans="12:43" x14ac:dyDescent="0.25">
      <c r="L39" s="698"/>
      <c r="M39" s="366" t="s">
        <v>451</v>
      </c>
      <c r="N39" s="198" t="s">
        <v>452</v>
      </c>
      <c r="O39" s="198" t="s">
        <v>445</v>
      </c>
      <c r="P39" s="198"/>
      <c r="Q39" s="198"/>
      <c r="R39" s="200"/>
      <c r="AK39" s="698"/>
      <c r="AL39" s="366" t="s">
        <v>451</v>
      </c>
      <c r="AM39" s="198" t="s">
        <v>452</v>
      </c>
      <c r="AN39" s="198" t="s">
        <v>445</v>
      </c>
      <c r="AO39" s="198"/>
      <c r="AP39" s="198"/>
      <c r="AQ39" s="200"/>
    </row>
    <row r="40" spans="12:43" x14ac:dyDescent="0.25">
      <c r="L40" s="698"/>
      <c r="M40" s="366" t="s">
        <v>447</v>
      </c>
      <c r="N40" s="198">
        <v>163.30000000000001</v>
      </c>
      <c r="O40" s="198" t="s">
        <v>445</v>
      </c>
      <c r="P40" s="198"/>
      <c r="Q40" s="198"/>
      <c r="R40" s="200"/>
      <c r="AK40" s="698"/>
      <c r="AL40" s="366" t="s">
        <v>447</v>
      </c>
      <c r="AM40" s="198">
        <v>156.69999999999999</v>
      </c>
      <c r="AN40" s="198" t="s">
        <v>445</v>
      </c>
      <c r="AO40" s="198"/>
      <c r="AP40" s="198"/>
      <c r="AQ40" s="200"/>
    </row>
    <row r="41" spans="12:43" x14ac:dyDescent="0.25">
      <c r="L41" s="698"/>
      <c r="M41" s="366" t="s">
        <v>448</v>
      </c>
      <c r="N41" s="373">
        <v>5.1566000000000001</v>
      </c>
      <c r="O41" s="373" t="s">
        <v>449</v>
      </c>
      <c r="P41" s="373">
        <v>71.742400000000004</v>
      </c>
      <c r="Q41" s="373" t="s">
        <v>442</v>
      </c>
      <c r="R41" s="200">
        <v>1291.27</v>
      </c>
      <c r="AK41" s="698"/>
      <c r="AL41" s="366" t="s">
        <v>448</v>
      </c>
      <c r="AM41" s="373">
        <v>5.1566000000000001</v>
      </c>
      <c r="AN41" s="373" t="s">
        <v>449</v>
      </c>
      <c r="AO41" s="373">
        <v>161.81440000000001</v>
      </c>
      <c r="AP41" s="373" t="s">
        <v>442</v>
      </c>
      <c r="AQ41" s="200">
        <v>3038.01</v>
      </c>
    </row>
    <row r="42" spans="12:43" x14ac:dyDescent="0.25">
      <c r="L42" s="381"/>
      <c r="M42" s="376"/>
      <c r="N42" s="377"/>
      <c r="O42" s="377"/>
      <c r="P42" s="377"/>
      <c r="Q42" s="377"/>
      <c r="R42" s="382"/>
      <c r="AK42" s="381"/>
      <c r="AL42" s="376"/>
      <c r="AM42" s="377"/>
      <c r="AN42" s="377"/>
      <c r="AO42" s="377"/>
      <c r="AP42" s="377"/>
      <c r="AQ42" s="382"/>
    </row>
    <row r="43" spans="12:43" x14ac:dyDescent="0.25">
      <c r="L43" s="697" t="s">
        <v>440</v>
      </c>
      <c r="M43" s="374" t="s">
        <v>453</v>
      </c>
      <c r="N43" s="375"/>
      <c r="O43" s="375"/>
      <c r="P43" s="375"/>
      <c r="Q43" s="375" t="s">
        <v>442</v>
      </c>
      <c r="R43" s="383"/>
      <c r="AK43" s="697" t="s">
        <v>440</v>
      </c>
      <c r="AL43" s="374" t="s">
        <v>453</v>
      </c>
      <c r="AM43" s="375"/>
      <c r="AN43" s="375"/>
      <c r="AO43" s="375"/>
      <c r="AP43" s="375" t="s">
        <v>442</v>
      </c>
      <c r="AQ43" s="383"/>
    </row>
    <row r="44" spans="12:43" x14ac:dyDescent="0.25">
      <c r="L44" s="698"/>
      <c r="M44" s="366" t="s">
        <v>443</v>
      </c>
      <c r="N44" s="198"/>
      <c r="O44" s="198"/>
      <c r="P44" s="198"/>
      <c r="Q44" s="198"/>
      <c r="R44" s="200"/>
      <c r="AK44" s="698"/>
      <c r="AL44" s="366" t="s">
        <v>443</v>
      </c>
      <c r="AM44" s="198"/>
      <c r="AN44" s="198"/>
      <c r="AO44" s="198"/>
      <c r="AP44" s="198"/>
      <c r="AQ44" s="200"/>
    </row>
    <row r="45" spans="12:43" x14ac:dyDescent="0.25">
      <c r="L45" s="698"/>
      <c r="M45" s="366" t="s">
        <v>444</v>
      </c>
      <c r="N45" s="198">
        <v>30</v>
      </c>
      <c r="O45" s="198" t="s">
        <v>445</v>
      </c>
      <c r="P45" s="198">
        <v>30</v>
      </c>
      <c r="Q45" s="198"/>
      <c r="R45" s="200"/>
      <c r="AK45" s="698"/>
      <c r="AL45" s="366" t="s">
        <v>444</v>
      </c>
      <c r="AM45" s="198">
        <v>30</v>
      </c>
      <c r="AN45" s="198" t="s">
        <v>445</v>
      </c>
      <c r="AO45" s="198">
        <v>30</v>
      </c>
      <c r="AP45" s="198"/>
      <c r="AQ45" s="200"/>
    </row>
    <row r="46" spans="12:43" x14ac:dyDescent="0.25">
      <c r="L46" s="698"/>
      <c r="M46" s="366" t="s">
        <v>446</v>
      </c>
      <c r="N46" s="198"/>
      <c r="O46" s="198"/>
      <c r="P46" s="198"/>
      <c r="Q46" s="198"/>
      <c r="R46" s="200"/>
      <c r="AK46" s="698"/>
      <c r="AL46" s="366" t="s">
        <v>446</v>
      </c>
      <c r="AM46" s="198"/>
      <c r="AN46" s="198"/>
      <c r="AO46" s="198"/>
      <c r="AP46" s="198"/>
      <c r="AQ46" s="200"/>
    </row>
    <row r="47" spans="12:43" x14ac:dyDescent="0.25">
      <c r="L47" s="698"/>
      <c r="M47" s="366" t="s">
        <v>444</v>
      </c>
      <c r="N47" s="198">
        <v>40</v>
      </c>
      <c r="O47" s="198" t="s">
        <v>445</v>
      </c>
      <c r="P47" s="198">
        <v>40</v>
      </c>
      <c r="Q47" s="198"/>
      <c r="R47" s="200"/>
      <c r="AK47" s="698"/>
      <c r="AL47" s="366" t="s">
        <v>444</v>
      </c>
      <c r="AM47" s="198">
        <v>40</v>
      </c>
      <c r="AN47" s="198" t="s">
        <v>445</v>
      </c>
      <c r="AO47" s="198">
        <v>40</v>
      </c>
      <c r="AP47" s="198"/>
      <c r="AQ47" s="200"/>
    </row>
    <row r="48" spans="12:43" x14ac:dyDescent="0.25">
      <c r="L48" s="698"/>
      <c r="M48" s="366" t="s">
        <v>451</v>
      </c>
      <c r="N48" s="198" t="s">
        <v>452</v>
      </c>
      <c r="O48" s="198" t="s">
        <v>445</v>
      </c>
      <c r="P48" s="198"/>
      <c r="Q48" s="198"/>
      <c r="R48" s="200"/>
      <c r="AK48" s="698"/>
      <c r="AL48" s="366" t="s">
        <v>451</v>
      </c>
      <c r="AM48" s="198" t="s">
        <v>452</v>
      </c>
      <c r="AN48" s="198" t="s">
        <v>445</v>
      </c>
      <c r="AO48" s="198"/>
      <c r="AP48" s="198"/>
      <c r="AQ48" s="200"/>
    </row>
    <row r="49" spans="12:43" x14ac:dyDescent="0.25">
      <c r="L49" s="698"/>
      <c r="M49" s="366" t="s">
        <v>447</v>
      </c>
      <c r="N49" s="198">
        <v>163.30000000000001</v>
      </c>
      <c r="O49" s="198" t="s">
        <v>445</v>
      </c>
      <c r="P49" s="198"/>
      <c r="Q49" s="198"/>
      <c r="R49" s="200"/>
      <c r="AK49" s="698"/>
      <c r="AL49" s="366" t="s">
        <v>447</v>
      </c>
      <c r="AM49" s="198">
        <v>156.69999999999999</v>
      </c>
      <c r="AN49" s="198" t="s">
        <v>445</v>
      </c>
      <c r="AO49" s="198"/>
      <c r="AP49" s="198"/>
      <c r="AQ49" s="200"/>
    </row>
    <row r="50" spans="12:43" x14ac:dyDescent="0.25">
      <c r="L50" s="698"/>
      <c r="M50" s="366" t="s">
        <v>448</v>
      </c>
      <c r="N50" s="373">
        <v>1.7189000000000001</v>
      </c>
      <c r="O50" s="373" t="s">
        <v>449</v>
      </c>
      <c r="P50" s="373">
        <v>26.237100000000002</v>
      </c>
      <c r="Q50" s="373" t="s">
        <v>442</v>
      </c>
      <c r="R50" s="200">
        <v>1426.39</v>
      </c>
      <c r="AK50" s="698"/>
      <c r="AL50" s="366" t="s">
        <v>448</v>
      </c>
      <c r="AM50" s="373">
        <v>1.7189000000000001</v>
      </c>
      <c r="AN50" s="373" t="s">
        <v>449</v>
      </c>
      <c r="AO50" s="373">
        <v>49.599400000000003</v>
      </c>
      <c r="AP50" s="373" t="s">
        <v>442</v>
      </c>
      <c r="AQ50" s="200">
        <v>2785.53</v>
      </c>
    </row>
    <row r="51" spans="12:43" x14ac:dyDescent="0.25">
      <c r="L51" s="381"/>
      <c r="M51" s="376"/>
      <c r="N51" s="377"/>
      <c r="O51" s="377"/>
      <c r="P51" s="377"/>
      <c r="Q51" s="377"/>
      <c r="R51" s="382"/>
      <c r="AK51" s="381"/>
      <c r="AL51" s="376"/>
      <c r="AM51" s="377"/>
      <c r="AN51" s="377"/>
      <c r="AO51" s="377"/>
      <c r="AP51" s="377"/>
      <c r="AQ51" s="382"/>
    </row>
    <row r="52" spans="12:43" x14ac:dyDescent="0.25">
      <c r="L52" s="697" t="s">
        <v>440</v>
      </c>
      <c r="M52" s="374" t="s">
        <v>454</v>
      </c>
      <c r="N52" s="375"/>
      <c r="O52" s="375"/>
      <c r="P52" s="375"/>
      <c r="Q52" s="375" t="s">
        <v>442</v>
      </c>
      <c r="R52" s="383"/>
      <c r="AK52" s="697" t="s">
        <v>440</v>
      </c>
      <c r="AL52" s="374" t="s">
        <v>454</v>
      </c>
      <c r="AM52" s="375"/>
      <c r="AN52" s="375"/>
      <c r="AO52" s="375"/>
      <c r="AP52" s="375" t="s">
        <v>442</v>
      </c>
      <c r="AQ52" s="383"/>
    </row>
    <row r="53" spans="12:43" x14ac:dyDescent="0.25">
      <c r="L53" s="698"/>
      <c r="M53" s="366" t="s">
        <v>455</v>
      </c>
      <c r="N53" s="198"/>
      <c r="O53" s="198"/>
      <c r="P53" s="198"/>
      <c r="Q53" s="198"/>
      <c r="R53" s="200"/>
      <c r="AK53" s="698"/>
      <c r="AL53" s="366" t="s">
        <v>455</v>
      </c>
      <c r="AM53" s="198"/>
      <c r="AN53" s="198"/>
      <c r="AO53" s="198"/>
      <c r="AP53" s="198"/>
      <c r="AQ53" s="200"/>
    </row>
    <row r="54" spans="12:43" x14ac:dyDescent="0.25">
      <c r="L54" s="698"/>
      <c r="M54" s="366" t="s">
        <v>444</v>
      </c>
      <c r="N54" s="198">
        <v>30</v>
      </c>
      <c r="O54" s="198" t="s">
        <v>445</v>
      </c>
      <c r="P54" s="198">
        <v>30</v>
      </c>
      <c r="Q54" s="198"/>
      <c r="R54" s="200"/>
      <c r="AK54" s="698"/>
      <c r="AL54" s="366" t="s">
        <v>444</v>
      </c>
      <c r="AM54" s="198">
        <v>30</v>
      </c>
      <c r="AN54" s="198" t="s">
        <v>445</v>
      </c>
      <c r="AO54" s="198">
        <v>30</v>
      </c>
      <c r="AP54" s="198"/>
      <c r="AQ54" s="200"/>
    </row>
    <row r="55" spans="12:43" x14ac:dyDescent="0.25">
      <c r="L55" s="698"/>
      <c r="M55" s="366" t="s">
        <v>446</v>
      </c>
      <c r="N55" s="198"/>
      <c r="O55" s="198"/>
      <c r="P55" s="198"/>
      <c r="Q55" s="198"/>
      <c r="R55" s="200"/>
      <c r="AK55" s="698"/>
      <c r="AL55" s="366" t="s">
        <v>446</v>
      </c>
      <c r="AM55" s="198"/>
      <c r="AN55" s="198"/>
      <c r="AO55" s="198"/>
      <c r="AP55" s="198"/>
      <c r="AQ55" s="200"/>
    </row>
    <row r="56" spans="12:43" x14ac:dyDescent="0.25">
      <c r="L56" s="698"/>
      <c r="M56" s="366" t="s">
        <v>444</v>
      </c>
      <c r="N56" s="198">
        <v>90</v>
      </c>
      <c r="O56" s="198" t="s">
        <v>445</v>
      </c>
      <c r="P56" s="198">
        <v>90</v>
      </c>
      <c r="Q56" s="198"/>
      <c r="R56" s="200"/>
      <c r="AK56" s="698"/>
      <c r="AL56" s="366" t="s">
        <v>444</v>
      </c>
      <c r="AM56" s="198">
        <v>90</v>
      </c>
      <c r="AN56" s="198" t="s">
        <v>445</v>
      </c>
      <c r="AO56" s="198">
        <v>90</v>
      </c>
      <c r="AP56" s="198"/>
      <c r="AQ56" s="200"/>
    </row>
    <row r="57" spans="12:43" x14ac:dyDescent="0.25">
      <c r="L57" s="698"/>
      <c r="M57" s="366" t="s">
        <v>456</v>
      </c>
      <c r="N57" s="198">
        <v>104.5</v>
      </c>
      <c r="O57" s="198" t="s">
        <v>445</v>
      </c>
      <c r="P57" s="198"/>
      <c r="Q57" s="198"/>
      <c r="R57" s="200"/>
      <c r="AK57" s="698"/>
      <c r="AL57" s="366" t="s">
        <v>456</v>
      </c>
      <c r="AM57" s="198">
        <v>97.3</v>
      </c>
      <c r="AN57" s="198" t="s">
        <v>445</v>
      </c>
      <c r="AO57" s="198"/>
      <c r="AP57" s="198"/>
      <c r="AQ57" s="200"/>
    </row>
    <row r="58" spans="12:43" x14ac:dyDescent="0.25">
      <c r="L58" s="698"/>
      <c r="M58" s="366" t="s">
        <v>448</v>
      </c>
      <c r="N58" s="373">
        <v>0.2</v>
      </c>
      <c r="O58" s="373" t="s">
        <v>71</v>
      </c>
      <c r="P58" s="373">
        <v>3.9249999999999998</v>
      </c>
      <c r="Q58" s="373" t="s">
        <v>442</v>
      </c>
      <c r="R58" s="200">
        <v>1862.5</v>
      </c>
      <c r="AK58" s="698"/>
      <c r="AL58" s="366" t="s">
        <v>448</v>
      </c>
      <c r="AM58" s="373">
        <v>0.2</v>
      </c>
      <c r="AN58" s="373" t="s">
        <v>71</v>
      </c>
      <c r="AO58" s="373">
        <v>7.1909999999999998</v>
      </c>
      <c r="AP58" s="373" t="s">
        <v>442</v>
      </c>
      <c r="AQ58" s="200">
        <v>3495.5</v>
      </c>
    </row>
    <row r="59" spans="12:43" x14ac:dyDescent="0.25">
      <c r="L59" s="698"/>
      <c r="M59" s="366" t="s">
        <v>457</v>
      </c>
      <c r="N59" s="198"/>
      <c r="O59" s="198"/>
      <c r="P59" s="198"/>
      <c r="Q59" s="198"/>
      <c r="R59" s="200"/>
      <c r="AK59" s="698"/>
      <c r="AL59" s="366" t="s">
        <v>457</v>
      </c>
      <c r="AM59" s="198"/>
      <c r="AN59" s="198"/>
      <c r="AO59" s="198"/>
      <c r="AP59" s="198"/>
      <c r="AQ59" s="200"/>
    </row>
    <row r="60" spans="12:43" x14ac:dyDescent="0.25">
      <c r="L60" s="698"/>
      <c r="M60" s="366" t="s">
        <v>458</v>
      </c>
      <c r="N60" s="198"/>
      <c r="O60" s="198" t="s">
        <v>445</v>
      </c>
      <c r="P60" s="198">
        <v>90</v>
      </c>
      <c r="Q60" s="198"/>
      <c r="R60" s="200"/>
      <c r="AK60" s="698"/>
      <c r="AL60" s="366" t="s">
        <v>458</v>
      </c>
      <c r="AM60" s="198"/>
      <c r="AN60" s="198" t="s">
        <v>445</v>
      </c>
      <c r="AO60" s="198">
        <v>90</v>
      </c>
      <c r="AP60" s="198"/>
      <c r="AQ60" s="200"/>
    </row>
    <row r="61" spans="12:43" x14ac:dyDescent="0.25">
      <c r="L61" s="381"/>
      <c r="M61" s="376"/>
      <c r="N61" s="377"/>
      <c r="O61" s="377"/>
      <c r="P61" s="377"/>
      <c r="Q61" s="377"/>
      <c r="R61" s="382"/>
      <c r="AK61" s="381"/>
      <c r="AL61" s="376"/>
      <c r="AM61" s="377"/>
      <c r="AN61" s="377"/>
      <c r="AO61" s="377"/>
      <c r="AP61" s="377"/>
      <c r="AQ61" s="382"/>
    </row>
    <row r="62" spans="12:43" x14ac:dyDescent="0.25">
      <c r="L62" s="697" t="s">
        <v>440</v>
      </c>
      <c r="M62" s="374" t="s">
        <v>459</v>
      </c>
      <c r="N62" s="375"/>
      <c r="O62" s="375"/>
      <c r="P62" s="375"/>
      <c r="Q62" s="375" t="s">
        <v>442</v>
      </c>
      <c r="R62" s="383"/>
      <c r="AK62" s="697" t="s">
        <v>440</v>
      </c>
      <c r="AL62" s="374" t="s">
        <v>459</v>
      </c>
      <c r="AM62" s="375"/>
      <c r="AN62" s="375"/>
      <c r="AO62" s="375"/>
      <c r="AP62" s="375" t="s">
        <v>442</v>
      </c>
      <c r="AQ62" s="383"/>
    </row>
    <row r="63" spans="12:43" x14ac:dyDescent="0.25">
      <c r="L63" s="698"/>
      <c r="M63" s="366" t="s">
        <v>448</v>
      </c>
      <c r="N63" s="373">
        <v>25</v>
      </c>
      <c r="O63" s="373" t="s">
        <v>445</v>
      </c>
      <c r="P63" s="373">
        <v>104.5</v>
      </c>
      <c r="Q63" s="373" t="s">
        <v>442</v>
      </c>
      <c r="R63" s="200">
        <v>318.18</v>
      </c>
      <c r="AK63" s="698"/>
      <c r="AL63" s="366" t="s">
        <v>448</v>
      </c>
      <c r="AM63" s="373">
        <v>25</v>
      </c>
      <c r="AN63" s="373" t="s">
        <v>445</v>
      </c>
      <c r="AO63" s="373">
        <v>97.3</v>
      </c>
      <c r="AP63" s="373" t="s">
        <v>442</v>
      </c>
      <c r="AQ63" s="200">
        <v>289.08999999999997</v>
      </c>
    </row>
    <row r="64" spans="12:43" x14ac:dyDescent="0.25">
      <c r="L64" s="381"/>
      <c r="M64" s="376"/>
      <c r="N64" s="377"/>
      <c r="O64" s="377"/>
      <c r="P64" s="377"/>
      <c r="Q64" s="377"/>
      <c r="R64" s="382"/>
      <c r="AK64" s="381"/>
      <c r="AL64" s="376"/>
      <c r="AM64" s="377"/>
      <c r="AN64" s="377"/>
      <c r="AO64" s="377"/>
      <c r="AP64" s="377"/>
      <c r="AQ64" s="382"/>
    </row>
    <row r="65" spans="12:43" x14ac:dyDescent="0.25">
      <c r="L65" s="697" t="s">
        <v>440</v>
      </c>
      <c r="M65" s="374" t="s">
        <v>460</v>
      </c>
      <c r="N65" s="375"/>
      <c r="O65" s="375"/>
      <c r="P65" s="375"/>
      <c r="Q65" s="375" t="s">
        <v>442</v>
      </c>
      <c r="R65" s="383"/>
      <c r="AK65" s="697" t="s">
        <v>440</v>
      </c>
      <c r="AL65" s="374" t="s">
        <v>460</v>
      </c>
      <c r="AM65" s="375"/>
      <c r="AN65" s="375"/>
      <c r="AO65" s="375"/>
      <c r="AP65" s="375" t="s">
        <v>442</v>
      </c>
      <c r="AQ65" s="383"/>
    </row>
    <row r="66" spans="12:43" x14ac:dyDescent="0.25">
      <c r="L66" s="698"/>
      <c r="M66" s="366" t="s">
        <v>444</v>
      </c>
      <c r="N66" s="198">
        <v>0</v>
      </c>
      <c r="O66" s="198" t="s">
        <v>445</v>
      </c>
      <c r="P66" s="198"/>
      <c r="Q66" s="198"/>
      <c r="R66" s="200"/>
      <c r="AK66" s="698"/>
      <c r="AL66" s="366" t="s">
        <v>444</v>
      </c>
      <c r="AM66" s="198">
        <v>0</v>
      </c>
      <c r="AN66" s="198" t="s">
        <v>445</v>
      </c>
      <c r="AO66" s="198"/>
      <c r="AP66" s="198"/>
      <c r="AQ66" s="200"/>
    </row>
    <row r="67" spans="12:43" x14ac:dyDescent="0.25">
      <c r="L67" s="698"/>
      <c r="M67" s="366" t="s">
        <v>448</v>
      </c>
      <c r="N67" s="373">
        <v>0.15</v>
      </c>
      <c r="O67" s="373" t="s">
        <v>71</v>
      </c>
      <c r="P67" s="373">
        <v>6.99</v>
      </c>
      <c r="Q67" s="373" t="s">
        <v>442</v>
      </c>
      <c r="R67" s="200">
        <v>4560</v>
      </c>
      <c r="AK67" s="698"/>
      <c r="AL67" s="366" t="s">
        <v>448</v>
      </c>
      <c r="AM67" s="373">
        <v>0.15</v>
      </c>
      <c r="AN67" s="373" t="s">
        <v>71</v>
      </c>
      <c r="AO67" s="373">
        <v>19.63</v>
      </c>
      <c r="AP67" s="373" t="s">
        <v>442</v>
      </c>
      <c r="AQ67" s="200">
        <v>12986.67</v>
      </c>
    </row>
    <row r="68" spans="12:43" x14ac:dyDescent="0.25">
      <c r="L68" s="381"/>
      <c r="M68" s="376"/>
      <c r="N68" s="377"/>
      <c r="O68" s="377"/>
      <c r="P68" s="377"/>
      <c r="Q68" s="377"/>
      <c r="R68" s="382"/>
      <c r="AK68" s="381"/>
      <c r="AL68" s="376"/>
      <c r="AM68" s="377"/>
      <c r="AN68" s="377"/>
      <c r="AO68" s="377"/>
      <c r="AP68" s="377"/>
      <c r="AQ68" s="382"/>
    </row>
    <row r="69" spans="12:43" ht="30" x14ac:dyDescent="0.25">
      <c r="L69" s="697" t="s">
        <v>440</v>
      </c>
      <c r="M69" s="374" t="s">
        <v>461</v>
      </c>
      <c r="N69" s="375"/>
      <c r="O69" s="375"/>
      <c r="P69" s="375"/>
      <c r="Q69" s="375" t="s">
        <v>442</v>
      </c>
      <c r="R69" s="383"/>
      <c r="AK69" s="697" t="s">
        <v>440</v>
      </c>
      <c r="AL69" s="374" t="s">
        <v>461</v>
      </c>
      <c r="AM69" s="375"/>
      <c r="AN69" s="375"/>
      <c r="AO69" s="375"/>
      <c r="AP69" s="375" t="s">
        <v>442</v>
      </c>
      <c r="AQ69" s="383"/>
    </row>
    <row r="70" spans="12:43" ht="30" x14ac:dyDescent="0.25">
      <c r="L70" s="698"/>
      <c r="M70" s="366" t="s">
        <v>462</v>
      </c>
      <c r="N70" s="198"/>
      <c r="O70" s="198"/>
      <c r="P70" s="198"/>
      <c r="Q70" s="198"/>
      <c r="R70" s="200"/>
      <c r="AK70" s="698"/>
      <c r="AL70" s="366" t="s">
        <v>462</v>
      </c>
      <c r="AM70" s="198"/>
      <c r="AN70" s="198"/>
      <c r="AO70" s="198"/>
      <c r="AP70" s="198"/>
      <c r="AQ70" s="200"/>
    </row>
    <row r="71" spans="12:43" x14ac:dyDescent="0.25">
      <c r="L71" s="698"/>
      <c r="M71" s="366" t="s">
        <v>463</v>
      </c>
      <c r="N71" s="198">
        <v>0</v>
      </c>
      <c r="O71" s="198"/>
      <c r="P71" s="198"/>
      <c r="Q71" s="198"/>
      <c r="R71" s="200"/>
      <c r="AK71" s="698"/>
      <c r="AL71" s="366" t="s">
        <v>463</v>
      </c>
      <c r="AM71" s="198">
        <v>0</v>
      </c>
      <c r="AN71" s="198"/>
      <c r="AO71" s="198"/>
      <c r="AP71" s="198"/>
      <c r="AQ71" s="200"/>
    </row>
    <row r="72" spans="12:43" x14ac:dyDescent="0.25">
      <c r="L72" s="698"/>
      <c r="M72" s="366" t="s">
        <v>464</v>
      </c>
      <c r="N72" s="198">
        <v>75</v>
      </c>
      <c r="O72" s="198" t="s">
        <v>267</v>
      </c>
      <c r="P72" s="198"/>
      <c r="Q72" s="198"/>
      <c r="R72" s="200"/>
      <c r="AK72" s="698"/>
      <c r="AL72" s="366" t="s">
        <v>464</v>
      </c>
      <c r="AM72" s="198">
        <v>75</v>
      </c>
      <c r="AN72" s="198" t="s">
        <v>267</v>
      </c>
      <c r="AO72" s="198"/>
      <c r="AP72" s="198"/>
      <c r="AQ72" s="200"/>
    </row>
    <row r="73" spans="12:43" x14ac:dyDescent="0.25">
      <c r="L73" s="698"/>
      <c r="M73" s="366" t="s">
        <v>465</v>
      </c>
      <c r="N73" s="198">
        <v>0</v>
      </c>
      <c r="O73" s="198" t="s">
        <v>71</v>
      </c>
      <c r="P73" s="198"/>
      <c r="Q73" s="198"/>
      <c r="R73" s="200"/>
      <c r="AK73" s="698"/>
      <c r="AL73" s="366" t="s">
        <v>465</v>
      </c>
      <c r="AM73" s="198">
        <v>0</v>
      </c>
      <c r="AN73" s="198" t="s">
        <v>71</v>
      </c>
      <c r="AO73" s="198"/>
      <c r="AP73" s="198"/>
      <c r="AQ73" s="200"/>
    </row>
    <row r="74" spans="12:43" x14ac:dyDescent="0.25">
      <c r="L74" s="698"/>
      <c r="M74" s="366" t="s">
        <v>466</v>
      </c>
      <c r="N74" s="198">
        <v>0</v>
      </c>
      <c r="O74" s="198"/>
      <c r="P74" s="198"/>
      <c r="Q74" s="198"/>
      <c r="R74" s="200"/>
      <c r="AK74" s="698"/>
      <c r="AL74" s="366" t="s">
        <v>466</v>
      </c>
      <c r="AM74" s="198">
        <v>0</v>
      </c>
      <c r="AN74" s="198"/>
      <c r="AO74" s="198"/>
      <c r="AP74" s="198"/>
      <c r="AQ74" s="200"/>
    </row>
    <row r="75" spans="12:43" x14ac:dyDescent="0.25">
      <c r="L75" s="698"/>
      <c r="M75" s="366" t="s">
        <v>467</v>
      </c>
      <c r="N75" s="373">
        <v>10</v>
      </c>
      <c r="O75" s="373" t="s">
        <v>445</v>
      </c>
      <c r="P75" s="373">
        <v>0</v>
      </c>
      <c r="Q75" s="373" t="s">
        <v>442</v>
      </c>
      <c r="R75" s="200">
        <v>100</v>
      </c>
      <c r="AK75" s="698"/>
      <c r="AL75" s="366" t="s">
        <v>467</v>
      </c>
      <c r="AM75" s="373">
        <v>10</v>
      </c>
      <c r="AN75" s="373" t="s">
        <v>445</v>
      </c>
      <c r="AO75" s="373">
        <v>0</v>
      </c>
      <c r="AP75" s="373" t="s">
        <v>442</v>
      </c>
      <c r="AQ75" s="200">
        <v>99.83</v>
      </c>
    </row>
    <row r="76" spans="12:43" x14ac:dyDescent="0.25">
      <c r="L76" s="698"/>
      <c r="M76" s="366" t="s">
        <v>457</v>
      </c>
      <c r="N76" s="198"/>
      <c r="O76" s="198"/>
      <c r="P76" s="198"/>
      <c r="Q76" s="198"/>
      <c r="R76" s="200"/>
      <c r="AK76" s="698"/>
      <c r="AL76" s="366" t="s">
        <v>457</v>
      </c>
      <c r="AM76" s="198"/>
      <c r="AN76" s="198"/>
      <c r="AO76" s="198"/>
      <c r="AP76" s="198"/>
      <c r="AQ76" s="200"/>
    </row>
    <row r="77" spans="12:43" x14ac:dyDescent="0.25">
      <c r="L77" s="698"/>
      <c r="M77" s="366" t="s">
        <v>468</v>
      </c>
      <c r="N77" s="198"/>
      <c r="O77" s="198" t="s">
        <v>71</v>
      </c>
      <c r="P77" s="198">
        <v>0</v>
      </c>
      <c r="Q77" s="198"/>
      <c r="R77" s="200"/>
      <c r="AK77" s="698"/>
      <c r="AL77" s="366" t="s">
        <v>468</v>
      </c>
      <c r="AM77" s="198"/>
      <c r="AN77" s="198" t="s">
        <v>71</v>
      </c>
      <c r="AO77" s="198">
        <v>0</v>
      </c>
      <c r="AP77" s="198"/>
      <c r="AQ77" s="200"/>
    </row>
    <row r="78" spans="12:43" x14ac:dyDescent="0.25">
      <c r="L78" s="381"/>
      <c r="M78" s="376"/>
      <c r="N78" s="377"/>
      <c r="O78" s="377"/>
      <c r="P78" s="377"/>
      <c r="Q78" s="377"/>
      <c r="R78" s="382"/>
      <c r="AK78" s="381"/>
      <c r="AL78" s="376"/>
      <c r="AM78" s="377"/>
      <c r="AN78" s="377"/>
      <c r="AO78" s="377"/>
      <c r="AP78" s="377"/>
      <c r="AQ78" s="382"/>
    </row>
    <row r="79" spans="12:43" x14ac:dyDescent="0.25">
      <c r="L79" s="697" t="s">
        <v>440</v>
      </c>
      <c r="M79" s="374" t="s">
        <v>469</v>
      </c>
      <c r="N79" s="375"/>
      <c r="O79" s="375"/>
      <c r="P79" s="375"/>
      <c r="Q79" s="375" t="s">
        <v>442</v>
      </c>
      <c r="R79" s="383"/>
      <c r="AK79" s="697" t="s">
        <v>440</v>
      </c>
      <c r="AL79" s="374" t="s">
        <v>469</v>
      </c>
      <c r="AM79" s="375"/>
      <c r="AN79" s="375"/>
      <c r="AO79" s="375"/>
      <c r="AP79" s="375" t="s">
        <v>442</v>
      </c>
      <c r="AQ79" s="383"/>
    </row>
    <row r="80" spans="12:43" x14ac:dyDescent="0.25">
      <c r="L80" s="698"/>
      <c r="M80" s="366" t="s">
        <v>470</v>
      </c>
      <c r="N80" s="198"/>
      <c r="O80" s="198"/>
      <c r="P80" s="198"/>
      <c r="Q80" s="198"/>
      <c r="R80" s="200"/>
      <c r="AK80" s="698"/>
      <c r="AL80" s="366" t="s">
        <v>470</v>
      </c>
      <c r="AM80" s="198"/>
      <c r="AN80" s="198"/>
      <c r="AO80" s="198"/>
      <c r="AP80" s="198"/>
      <c r="AQ80" s="200"/>
    </row>
    <row r="81" spans="12:43" x14ac:dyDescent="0.25">
      <c r="L81" s="698"/>
      <c r="M81" s="366" t="s">
        <v>471</v>
      </c>
      <c r="N81" s="198">
        <v>0.99960000000000004</v>
      </c>
      <c r="O81" s="198"/>
      <c r="P81" s="198"/>
      <c r="Q81" s="198"/>
      <c r="R81" s="200"/>
      <c r="AK81" s="698"/>
      <c r="AL81" s="366" t="s">
        <v>471</v>
      </c>
      <c r="AM81" s="198">
        <v>0.99960000000000004</v>
      </c>
      <c r="AN81" s="198"/>
      <c r="AO81" s="198"/>
      <c r="AP81" s="198"/>
      <c r="AQ81" s="200"/>
    </row>
    <row r="82" spans="12:43" x14ac:dyDescent="0.25">
      <c r="L82" s="698"/>
      <c r="M82" s="366" t="s">
        <v>472</v>
      </c>
      <c r="N82" s="198">
        <v>0</v>
      </c>
      <c r="O82" s="198" t="s">
        <v>473</v>
      </c>
      <c r="P82" s="198"/>
      <c r="Q82" s="198"/>
      <c r="R82" s="200"/>
      <c r="AK82" s="698"/>
      <c r="AL82" s="366" t="s">
        <v>472</v>
      </c>
      <c r="AM82" s="198">
        <v>0</v>
      </c>
      <c r="AN82" s="198" t="s">
        <v>473</v>
      </c>
      <c r="AO82" s="198"/>
      <c r="AP82" s="198"/>
      <c r="AQ82" s="200"/>
    </row>
    <row r="83" spans="12:43" x14ac:dyDescent="0.25">
      <c r="L83" s="698"/>
      <c r="M83" s="366" t="s">
        <v>474</v>
      </c>
      <c r="N83" s="198">
        <v>510</v>
      </c>
      <c r="O83" s="198" t="s">
        <v>475</v>
      </c>
      <c r="P83" s="198"/>
      <c r="Q83" s="198"/>
      <c r="R83" s="200"/>
      <c r="AK83" s="698"/>
      <c r="AL83" s="366" t="s">
        <v>474</v>
      </c>
      <c r="AM83" s="198">
        <v>510</v>
      </c>
      <c r="AN83" s="198" t="s">
        <v>475</v>
      </c>
      <c r="AO83" s="198"/>
      <c r="AP83" s="198"/>
      <c r="AQ83" s="200"/>
    </row>
    <row r="84" spans="12:43" x14ac:dyDescent="0.25">
      <c r="L84" s="698"/>
      <c r="M84" s="366" t="s">
        <v>476</v>
      </c>
      <c r="N84" s="198">
        <v>-0.26500000000000001</v>
      </c>
      <c r="O84" s="198" t="s">
        <v>71</v>
      </c>
      <c r="P84" s="198"/>
      <c r="Q84" s="198"/>
      <c r="R84" s="200"/>
      <c r="AK84" s="698"/>
      <c r="AL84" s="366" t="s">
        <v>476</v>
      </c>
      <c r="AM84" s="198">
        <v>-0.94599999999999995</v>
      </c>
      <c r="AN84" s="198" t="s">
        <v>71</v>
      </c>
      <c r="AO84" s="198"/>
      <c r="AP84" s="198"/>
      <c r="AQ84" s="200"/>
    </row>
    <row r="85" spans="12:43" x14ac:dyDescent="0.25">
      <c r="L85" s="698"/>
      <c r="M85" s="366" t="s">
        <v>466</v>
      </c>
      <c r="N85" s="198">
        <v>0</v>
      </c>
      <c r="O85" s="198"/>
      <c r="P85" s="198"/>
      <c r="Q85" s="198"/>
      <c r="R85" s="200"/>
      <c r="AK85" s="698"/>
      <c r="AL85" s="366" t="s">
        <v>466</v>
      </c>
      <c r="AM85" s="198">
        <v>0</v>
      </c>
      <c r="AN85" s="198"/>
      <c r="AO85" s="198"/>
      <c r="AP85" s="198"/>
      <c r="AQ85" s="200"/>
    </row>
    <row r="86" spans="12:43" x14ac:dyDescent="0.25">
      <c r="L86" s="698"/>
      <c r="M86" s="366" t="s">
        <v>467</v>
      </c>
      <c r="N86" s="373">
        <v>10</v>
      </c>
      <c r="O86" s="373" t="s">
        <v>445</v>
      </c>
      <c r="P86" s="373">
        <v>0</v>
      </c>
      <c r="Q86" s="373" t="s">
        <v>442</v>
      </c>
      <c r="R86" s="200">
        <v>100</v>
      </c>
      <c r="AK86" s="698"/>
      <c r="AL86" s="366" t="s">
        <v>467</v>
      </c>
      <c r="AM86" s="373">
        <v>10</v>
      </c>
      <c r="AN86" s="373" t="s">
        <v>445</v>
      </c>
      <c r="AO86" s="373">
        <v>0</v>
      </c>
      <c r="AP86" s="373" t="s">
        <v>442</v>
      </c>
      <c r="AQ86" s="200">
        <v>99.83</v>
      </c>
    </row>
    <row r="87" spans="12:43" x14ac:dyDescent="0.25">
      <c r="L87" s="698"/>
      <c r="M87" s="366" t="s">
        <v>457</v>
      </c>
      <c r="N87" s="198"/>
      <c r="O87" s="198"/>
      <c r="P87" s="198"/>
      <c r="Q87" s="198"/>
      <c r="R87" s="200"/>
      <c r="AK87" s="698"/>
      <c r="AL87" s="366" t="s">
        <v>457</v>
      </c>
      <c r="AM87" s="198"/>
      <c r="AN87" s="198"/>
      <c r="AO87" s="198"/>
      <c r="AP87" s="198"/>
      <c r="AQ87" s="200"/>
    </row>
    <row r="88" spans="12:43" x14ac:dyDescent="0.25">
      <c r="L88" s="698"/>
      <c r="M88" s="366" t="s">
        <v>468</v>
      </c>
      <c r="N88" s="198"/>
      <c r="O88" s="198" t="s">
        <v>71</v>
      </c>
      <c r="P88" s="198">
        <v>0</v>
      </c>
      <c r="Q88" s="198"/>
      <c r="R88" s="200"/>
      <c r="AK88" s="698"/>
      <c r="AL88" s="366" t="s">
        <v>468</v>
      </c>
      <c r="AM88" s="198"/>
      <c r="AN88" s="198" t="s">
        <v>71</v>
      </c>
      <c r="AO88" s="198">
        <v>0</v>
      </c>
      <c r="AP88" s="198"/>
      <c r="AQ88" s="200"/>
    </row>
    <row r="89" spans="12:43" x14ac:dyDescent="0.25">
      <c r="L89" s="381"/>
      <c r="M89" s="376"/>
      <c r="N89" s="377"/>
      <c r="O89" s="377"/>
      <c r="P89" s="377"/>
      <c r="Q89" s="377"/>
      <c r="R89" s="382"/>
      <c r="AK89" s="381"/>
      <c r="AL89" s="376"/>
      <c r="AM89" s="377"/>
      <c r="AN89" s="377"/>
      <c r="AO89" s="377"/>
      <c r="AP89" s="377"/>
      <c r="AQ89" s="382"/>
    </row>
    <row r="90" spans="12:43" x14ac:dyDescent="0.25">
      <c r="L90" s="697" t="s">
        <v>440</v>
      </c>
      <c r="M90" s="374" t="s">
        <v>477</v>
      </c>
      <c r="N90" s="375"/>
      <c r="O90" s="375"/>
      <c r="P90" s="375"/>
      <c r="Q90" s="375" t="s">
        <v>478</v>
      </c>
      <c r="R90" s="383"/>
      <c r="AK90" s="697" t="s">
        <v>440</v>
      </c>
      <c r="AL90" s="374" t="s">
        <v>477</v>
      </c>
      <c r="AM90" s="375"/>
      <c r="AN90" s="375"/>
      <c r="AO90" s="375"/>
      <c r="AP90" s="375" t="s">
        <v>442</v>
      </c>
      <c r="AQ90" s="383"/>
    </row>
    <row r="91" spans="12:43" ht="30" x14ac:dyDescent="0.25">
      <c r="L91" s="698"/>
      <c r="M91" s="366" t="s">
        <v>479</v>
      </c>
      <c r="N91" s="198"/>
      <c r="O91" s="198"/>
      <c r="P91" s="198"/>
      <c r="Q91" s="198"/>
      <c r="R91" s="200"/>
      <c r="AK91" s="698"/>
      <c r="AL91" s="366" t="s">
        <v>479</v>
      </c>
      <c r="AM91" s="198"/>
      <c r="AN91" s="198"/>
      <c r="AO91" s="198"/>
      <c r="AP91" s="198"/>
      <c r="AQ91" s="200"/>
    </row>
    <row r="92" spans="12:43" x14ac:dyDescent="0.25">
      <c r="L92" s="698"/>
      <c r="M92" s="366" t="s">
        <v>471</v>
      </c>
      <c r="N92" s="198">
        <v>0.99965999999999999</v>
      </c>
      <c r="O92" s="198"/>
      <c r="P92" s="198"/>
      <c r="Q92" s="198"/>
      <c r="R92" s="200"/>
      <c r="AK92" s="698"/>
      <c r="AL92" s="366" t="s">
        <v>471</v>
      </c>
      <c r="AM92" s="198">
        <v>0.99965999999999999</v>
      </c>
      <c r="AN92" s="198"/>
      <c r="AO92" s="198"/>
      <c r="AP92" s="198"/>
      <c r="AQ92" s="200"/>
    </row>
    <row r="93" spans="12:43" x14ac:dyDescent="0.25">
      <c r="L93" s="698"/>
      <c r="M93" s="366" t="s">
        <v>480</v>
      </c>
      <c r="N93" s="198">
        <v>504</v>
      </c>
      <c r="O93" s="198" t="s">
        <v>481</v>
      </c>
      <c r="P93" s="198"/>
      <c r="Q93" s="198"/>
      <c r="R93" s="200"/>
      <c r="AK93" s="698"/>
      <c r="AL93" s="366" t="s">
        <v>480</v>
      </c>
      <c r="AM93" s="198">
        <v>504</v>
      </c>
      <c r="AN93" s="198" t="s">
        <v>481</v>
      </c>
      <c r="AO93" s="198"/>
      <c r="AP93" s="198"/>
      <c r="AQ93" s="200"/>
    </row>
    <row r="94" spans="12:43" ht="30" x14ac:dyDescent="0.25">
      <c r="L94" s="698"/>
      <c r="M94" s="366" t="s">
        <v>482</v>
      </c>
      <c r="N94" s="198">
        <v>6</v>
      </c>
      <c r="O94" s="198" t="s">
        <v>71</v>
      </c>
      <c r="P94" s="198"/>
      <c r="Q94" s="198"/>
      <c r="R94" s="200"/>
      <c r="AK94" s="698"/>
      <c r="AL94" s="366" t="s">
        <v>482</v>
      </c>
      <c r="AM94" s="198">
        <v>6</v>
      </c>
      <c r="AN94" s="198" t="s">
        <v>71</v>
      </c>
      <c r="AO94" s="198"/>
      <c r="AP94" s="198"/>
      <c r="AQ94" s="200"/>
    </row>
    <row r="95" spans="12:43" x14ac:dyDescent="0.25">
      <c r="L95" s="698"/>
      <c r="M95" s="366" t="s">
        <v>483</v>
      </c>
      <c r="N95" s="198">
        <v>50</v>
      </c>
      <c r="O95" s="198" t="s">
        <v>117</v>
      </c>
      <c r="P95" s="198"/>
      <c r="Q95" s="198"/>
      <c r="R95" s="200"/>
      <c r="AK95" s="698"/>
      <c r="AL95" s="366" t="s">
        <v>483</v>
      </c>
      <c r="AM95" s="198">
        <v>50</v>
      </c>
      <c r="AN95" s="198" t="s">
        <v>117</v>
      </c>
      <c r="AO95" s="198"/>
      <c r="AP95" s="198"/>
      <c r="AQ95" s="200"/>
    </row>
    <row r="96" spans="12:43" ht="30" x14ac:dyDescent="0.25">
      <c r="L96" s="698"/>
      <c r="M96" s="366" t="s">
        <v>484</v>
      </c>
      <c r="N96" s="198">
        <v>0.34699999999999998</v>
      </c>
      <c r="O96" s="198" t="s">
        <v>71</v>
      </c>
      <c r="P96" s="198"/>
      <c r="Q96" s="198"/>
      <c r="R96" s="200"/>
      <c r="AK96" s="698"/>
      <c r="AL96" s="366" t="s">
        <v>484</v>
      </c>
      <c r="AM96" s="198">
        <v>1.1299999999999999</v>
      </c>
      <c r="AN96" s="198" t="s">
        <v>71</v>
      </c>
      <c r="AO96" s="198"/>
      <c r="AP96" s="198"/>
      <c r="AQ96" s="200"/>
    </row>
    <row r="97" spans="12:43" x14ac:dyDescent="0.25">
      <c r="L97" s="698"/>
      <c r="M97" s="366" t="s">
        <v>466</v>
      </c>
      <c r="N97" s="198">
        <v>0</v>
      </c>
      <c r="O97" s="198"/>
      <c r="P97" s="198"/>
      <c r="Q97" s="198"/>
      <c r="R97" s="200"/>
      <c r="AK97" s="698"/>
      <c r="AL97" s="366" t="s">
        <v>466</v>
      </c>
      <c r="AM97" s="198">
        <v>0</v>
      </c>
      <c r="AN97" s="198"/>
      <c r="AO97" s="198"/>
      <c r="AP97" s="198"/>
      <c r="AQ97" s="200"/>
    </row>
    <row r="98" spans="12:43" x14ac:dyDescent="0.25">
      <c r="L98" s="698"/>
      <c r="M98" s="366" t="s">
        <v>485</v>
      </c>
      <c r="N98" s="198">
        <v>1.5</v>
      </c>
      <c r="O98" s="198"/>
      <c r="P98" s="198"/>
      <c r="Q98" s="198"/>
      <c r="R98" s="200"/>
      <c r="AK98" s="698"/>
      <c r="AL98" s="366" t="s">
        <v>485</v>
      </c>
      <c r="AM98" s="198">
        <v>1.5</v>
      </c>
      <c r="AN98" s="198"/>
      <c r="AO98" s="198"/>
      <c r="AP98" s="198"/>
      <c r="AQ98" s="200"/>
    </row>
    <row r="99" spans="12:43" x14ac:dyDescent="0.25">
      <c r="L99" s="698"/>
      <c r="M99" s="366" t="s">
        <v>486</v>
      </c>
      <c r="N99" s="198"/>
      <c r="O99" s="198"/>
      <c r="P99" s="198"/>
      <c r="Q99" s="198"/>
      <c r="R99" s="200"/>
      <c r="AK99" s="698"/>
      <c r="AL99" s="366" t="s">
        <v>486</v>
      </c>
      <c r="AM99" s="198"/>
      <c r="AN99" s="198"/>
      <c r="AO99" s="198"/>
      <c r="AP99" s="198"/>
      <c r="AQ99" s="200"/>
    </row>
    <row r="100" spans="12:43" ht="30" x14ac:dyDescent="0.25">
      <c r="L100" s="698"/>
      <c r="M100" s="366" t="s">
        <v>487</v>
      </c>
      <c r="N100" s="198" t="s">
        <v>589</v>
      </c>
      <c r="O100" s="198" t="s">
        <v>445</v>
      </c>
      <c r="P100" s="198">
        <v>-17.5</v>
      </c>
      <c r="Q100" s="198"/>
      <c r="R100" s="200"/>
      <c r="AK100" s="698"/>
      <c r="AL100" s="366" t="s">
        <v>487</v>
      </c>
      <c r="AM100" s="198" t="s">
        <v>597</v>
      </c>
      <c r="AN100" s="198" t="s">
        <v>445</v>
      </c>
      <c r="AO100" s="198">
        <v>-22.6</v>
      </c>
      <c r="AP100" s="198"/>
      <c r="AQ100" s="200"/>
    </row>
    <row r="101" spans="12:43" ht="30" x14ac:dyDescent="0.25">
      <c r="L101" s="698"/>
      <c r="M101" s="366" t="s">
        <v>488</v>
      </c>
      <c r="N101" s="198"/>
      <c r="O101" s="198"/>
      <c r="P101" s="198"/>
      <c r="Q101" s="198"/>
      <c r="R101" s="200"/>
      <c r="AK101" s="698"/>
      <c r="AL101" s="366" t="s">
        <v>488</v>
      </c>
      <c r="AM101" s="198"/>
      <c r="AN101" s="198"/>
      <c r="AO101" s="198"/>
      <c r="AP101" s="198"/>
      <c r="AQ101" s="200"/>
    </row>
    <row r="102" spans="12:43" x14ac:dyDescent="0.25">
      <c r="L102" s="698"/>
      <c r="M102" s="366" t="s">
        <v>444</v>
      </c>
      <c r="N102" s="198">
        <v>50</v>
      </c>
      <c r="O102" s="198" t="s">
        <v>445</v>
      </c>
      <c r="P102" s="198">
        <v>50</v>
      </c>
      <c r="Q102" s="198"/>
      <c r="R102" s="200"/>
      <c r="AK102" s="698"/>
      <c r="AL102" s="366" t="s">
        <v>444</v>
      </c>
      <c r="AM102" s="198">
        <v>50</v>
      </c>
      <c r="AN102" s="198" t="s">
        <v>445</v>
      </c>
      <c r="AO102" s="198">
        <v>50</v>
      </c>
      <c r="AP102" s="198"/>
      <c r="AQ102" s="200"/>
    </row>
    <row r="103" spans="12:43" x14ac:dyDescent="0.25">
      <c r="L103" s="698"/>
      <c r="M103" s="366" t="s">
        <v>451</v>
      </c>
      <c r="N103" s="198" t="s">
        <v>452</v>
      </c>
      <c r="O103" s="198" t="s">
        <v>445</v>
      </c>
      <c r="P103" s="198"/>
      <c r="Q103" s="198"/>
      <c r="R103" s="200"/>
      <c r="AK103" s="698"/>
      <c r="AL103" s="366" t="s">
        <v>451</v>
      </c>
      <c r="AM103" s="198" t="s">
        <v>452</v>
      </c>
      <c r="AN103" s="198" t="s">
        <v>445</v>
      </c>
      <c r="AO103" s="198"/>
      <c r="AP103" s="198"/>
      <c r="AQ103" s="200"/>
    </row>
    <row r="104" spans="12:43" ht="30" x14ac:dyDescent="0.25">
      <c r="L104" s="698"/>
      <c r="M104" s="366" t="s">
        <v>489</v>
      </c>
      <c r="N104" s="198">
        <v>149</v>
      </c>
      <c r="O104" s="198" t="s">
        <v>445</v>
      </c>
      <c r="P104" s="198"/>
      <c r="Q104" s="198"/>
      <c r="R104" s="200"/>
      <c r="AK104" s="698"/>
      <c r="AL104" s="366" t="s">
        <v>489</v>
      </c>
      <c r="AM104" s="198">
        <v>148.5</v>
      </c>
      <c r="AN104" s="198" t="s">
        <v>445</v>
      </c>
      <c r="AO104" s="198"/>
      <c r="AP104" s="198"/>
      <c r="AQ104" s="200"/>
    </row>
    <row r="105" spans="12:43" ht="30" x14ac:dyDescent="0.25">
      <c r="L105" s="698"/>
      <c r="M105" s="366" t="s">
        <v>490</v>
      </c>
      <c r="N105" s="198"/>
      <c r="O105" s="198"/>
      <c r="P105" s="198"/>
      <c r="Q105" s="198"/>
      <c r="R105" s="200"/>
      <c r="AK105" s="698"/>
      <c r="AL105" s="366" t="s">
        <v>490</v>
      </c>
      <c r="AM105" s="198"/>
      <c r="AN105" s="198"/>
      <c r="AO105" s="198"/>
      <c r="AP105" s="198"/>
      <c r="AQ105" s="200"/>
    </row>
    <row r="106" spans="12:43" x14ac:dyDescent="0.25">
      <c r="L106" s="698"/>
      <c r="M106" s="366" t="s">
        <v>456</v>
      </c>
      <c r="N106" s="198">
        <v>104.5</v>
      </c>
      <c r="O106" s="198" t="s">
        <v>445</v>
      </c>
      <c r="P106" s="198">
        <v>104.5</v>
      </c>
      <c r="Q106" s="198"/>
      <c r="R106" s="200"/>
      <c r="AK106" s="698"/>
      <c r="AL106" s="366" t="s">
        <v>456</v>
      </c>
      <c r="AM106" s="198">
        <v>97.3</v>
      </c>
      <c r="AN106" s="198" t="s">
        <v>445</v>
      </c>
      <c r="AO106" s="198">
        <v>97.3</v>
      </c>
      <c r="AP106" s="198"/>
      <c r="AQ106" s="200"/>
    </row>
    <row r="107" spans="12:43" ht="30" x14ac:dyDescent="0.25">
      <c r="L107" s="698"/>
      <c r="M107" s="366" t="s">
        <v>491</v>
      </c>
      <c r="N107" s="198" t="s">
        <v>492</v>
      </c>
      <c r="O107" s="198"/>
      <c r="P107" s="198"/>
      <c r="Q107" s="198"/>
      <c r="R107" s="200"/>
      <c r="AK107" s="698"/>
      <c r="AL107" s="366" t="s">
        <v>491</v>
      </c>
      <c r="AM107" s="198" t="s">
        <v>492</v>
      </c>
      <c r="AN107" s="198"/>
      <c r="AO107" s="198"/>
      <c r="AP107" s="198"/>
      <c r="AQ107" s="200"/>
    </row>
    <row r="108" spans="12:43" x14ac:dyDescent="0.25">
      <c r="L108" s="698"/>
      <c r="M108" s="366" t="s">
        <v>493</v>
      </c>
      <c r="N108" s="198"/>
      <c r="O108" s="198"/>
      <c r="P108" s="198"/>
      <c r="Q108" s="198" t="s">
        <v>478</v>
      </c>
      <c r="R108" s="200"/>
      <c r="AK108" s="698"/>
      <c r="AL108" s="366" t="s">
        <v>493</v>
      </c>
      <c r="AM108" s="198"/>
      <c r="AN108" s="198"/>
      <c r="AO108" s="198"/>
      <c r="AP108" s="198" t="s">
        <v>442</v>
      </c>
      <c r="AQ108" s="200"/>
    </row>
    <row r="109" spans="12:43" ht="30" x14ac:dyDescent="0.25">
      <c r="L109" s="698"/>
      <c r="M109" s="366" t="s">
        <v>494</v>
      </c>
      <c r="N109" s="373">
        <v>16</v>
      </c>
      <c r="O109" s="373" t="s">
        <v>445</v>
      </c>
      <c r="P109" s="373">
        <v>7.5</v>
      </c>
      <c r="Q109" s="373" t="s">
        <v>442</v>
      </c>
      <c r="R109" s="200">
        <v>53</v>
      </c>
      <c r="AK109" s="698"/>
      <c r="AL109" s="366" t="s">
        <v>494</v>
      </c>
      <c r="AM109" s="373">
        <v>16</v>
      </c>
      <c r="AN109" s="373" t="s">
        <v>445</v>
      </c>
      <c r="AO109" s="373">
        <v>2.4</v>
      </c>
      <c r="AP109" s="373" t="s">
        <v>442</v>
      </c>
      <c r="AQ109" s="200">
        <v>85.11</v>
      </c>
    </row>
    <row r="110" spans="12:43" ht="45" x14ac:dyDescent="0.25">
      <c r="L110" s="698"/>
      <c r="M110" s="366" t="s">
        <v>495</v>
      </c>
      <c r="N110" s="373">
        <v>80</v>
      </c>
      <c r="O110" s="373" t="s">
        <v>475</v>
      </c>
      <c r="P110" s="373">
        <v>17.52</v>
      </c>
      <c r="Q110" s="373" t="s">
        <v>442</v>
      </c>
      <c r="R110" s="200">
        <v>78.099999999999994</v>
      </c>
      <c r="AK110" s="698"/>
      <c r="AL110" s="366" t="s">
        <v>495</v>
      </c>
      <c r="AM110" s="373">
        <v>80</v>
      </c>
      <c r="AN110" s="373" t="s">
        <v>475</v>
      </c>
      <c r="AO110" s="373">
        <v>5.68</v>
      </c>
      <c r="AP110" s="373" t="s">
        <v>442</v>
      </c>
      <c r="AQ110" s="200">
        <v>92.9</v>
      </c>
    </row>
    <row r="111" spans="12:43" x14ac:dyDescent="0.25">
      <c r="L111" s="698"/>
      <c r="M111" s="366" t="s">
        <v>496</v>
      </c>
      <c r="N111" s="380">
        <v>100</v>
      </c>
      <c r="O111" s="380" t="s">
        <v>475</v>
      </c>
      <c r="P111" s="380">
        <v>74.52</v>
      </c>
      <c r="Q111" s="380" t="s">
        <v>478</v>
      </c>
      <c r="R111" s="200">
        <v>-25.48</v>
      </c>
      <c r="AK111" s="698"/>
      <c r="AL111" s="366" t="s">
        <v>496</v>
      </c>
      <c r="AM111" s="373">
        <v>100</v>
      </c>
      <c r="AN111" s="373" t="s">
        <v>475</v>
      </c>
      <c r="AO111" s="373">
        <v>139.29</v>
      </c>
      <c r="AP111" s="373" t="s">
        <v>442</v>
      </c>
      <c r="AQ111" s="200">
        <v>39.29</v>
      </c>
    </row>
    <row r="112" spans="12:43" x14ac:dyDescent="0.25">
      <c r="L112" s="698"/>
      <c r="M112" s="366" t="s">
        <v>457</v>
      </c>
      <c r="N112" s="198"/>
      <c r="O112" s="198"/>
      <c r="P112" s="198"/>
      <c r="Q112" s="198"/>
      <c r="R112" s="200"/>
      <c r="AK112" s="698"/>
      <c r="AL112" s="366" t="s">
        <v>457</v>
      </c>
      <c r="AM112" s="198"/>
      <c r="AN112" s="198"/>
      <c r="AO112" s="198"/>
      <c r="AP112" s="198"/>
      <c r="AQ112" s="200"/>
    </row>
    <row r="113" spans="12:43" x14ac:dyDescent="0.25">
      <c r="L113" s="698"/>
      <c r="M113" s="366" t="s">
        <v>497</v>
      </c>
      <c r="N113" s="198"/>
      <c r="O113" s="198" t="s">
        <v>117</v>
      </c>
      <c r="P113" s="198">
        <v>155.66999999999999</v>
      </c>
      <c r="Q113" s="198"/>
      <c r="R113" s="200"/>
      <c r="AK113" s="698"/>
      <c r="AL113" s="366" t="s">
        <v>497</v>
      </c>
      <c r="AM113" s="198"/>
      <c r="AN113" s="198" t="s">
        <v>117</v>
      </c>
      <c r="AO113" s="198">
        <v>177.52500000000001</v>
      </c>
      <c r="AP113" s="198"/>
      <c r="AQ113" s="200"/>
    </row>
    <row r="114" spans="12:43" ht="30" x14ac:dyDescent="0.25">
      <c r="L114" s="698"/>
      <c r="M114" s="366" t="s">
        <v>498</v>
      </c>
      <c r="N114" s="198"/>
      <c r="O114" s="198" t="s">
        <v>71</v>
      </c>
      <c r="P114" s="198">
        <v>3.8279999999999998</v>
      </c>
      <c r="Q114" s="198"/>
      <c r="R114" s="200"/>
      <c r="AK114" s="698"/>
      <c r="AL114" s="366" t="s">
        <v>498</v>
      </c>
      <c r="AM114" s="198"/>
      <c r="AN114" s="198" t="s">
        <v>71</v>
      </c>
      <c r="AO114" s="198">
        <v>6.1050000000000004</v>
      </c>
      <c r="AP114" s="198"/>
      <c r="AQ114" s="200"/>
    </row>
    <row r="115" spans="12:43" x14ac:dyDescent="0.25">
      <c r="L115" s="698"/>
      <c r="M115" s="366" t="s">
        <v>499</v>
      </c>
      <c r="N115" s="198"/>
      <c r="O115" s="198" t="s">
        <v>117</v>
      </c>
      <c r="P115" s="198">
        <v>205.67</v>
      </c>
      <c r="Q115" s="198"/>
      <c r="R115" s="200"/>
      <c r="AK115" s="698"/>
      <c r="AL115" s="366" t="s">
        <v>499</v>
      </c>
      <c r="AM115" s="198"/>
      <c r="AN115" s="198" t="s">
        <v>117</v>
      </c>
      <c r="AO115" s="198">
        <v>227.52500000000001</v>
      </c>
      <c r="AP115" s="198"/>
      <c r="AQ115" s="200"/>
    </row>
    <row r="116" spans="12:43" ht="30" x14ac:dyDescent="0.25">
      <c r="L116" s="698"/>
      <c r="M116" s="366" t="s">
        <v>500</v>
      </c>
      <c r="N116" s="198"/>
      <c r="O116" s="198" t="s">
        <v>71</v>
      </c>
      <c r="P116" s="198">
        <v>4.3559999999999999</v>
      </c>
      <c r="Q116" s="198"/>
      <c r="R116" s="200"/>
      <c r="AK116" s="698"/>
      <c r="AL116" s="366" t="s">
        <v>500</v>
      </c>
      <c r="AM116" s="198"/>
      <c r="AN116" s="198" t="s">
        <v>71</v>
      </c>
      <c r="AO116" s="198">
        <v>6.0819999999999999</v>
      </c>
      <c r="AP116" s="198"/>
      <c r="AQ116" s="200"/>
    </row>
    <row r="117" spans="12:43" x14ac:dyDescent="0.25">
      <c r="L117" s="698"/>
      <c r="M117" s="366" t="s">
        <v>468</v>
      </c>
      <c r="N117" s="198"/>
      <c r="O117" s="198" t="s">
        <v>71</v>
      </c>
      <c r="P117" s="198">
        <v>0.93500000000000005</v>
      </c>
      <c r="Q117" s="198"/>
      <c r="R117" s="200"/>
      <c r="AK117" s="698"/>
      <c r="AL117" s="366" t="s">
        <v>468</v>
      </c>
      <c r="AM117" s="198"/>
      <c r="AN117" s="198" t="s">
        <v>71</v>
      </c>
      <c r="AO117" s="198">
        <v>0.85799999999999998</v>
      </c>
      <c r="AP117" s="198"/>
      <c r="AQ117" s="200"/>
    </row>
    <row r="118" spans="12:43" x14ac:dyDescent="0.25">
      <c r="L118" s="698"/>
      <c r="M118" s="366" t="s">
        <v>501</v>
      </c>
      <c r="N118" s="198"/>
      <c r="O118" s="198" t="s">
        <v>445</v>
      </c>
      <c r="P118" s="198">
        <v>7.5</v>
      </c>
      <c r="Q118" s="198"/>
      <c r="R118" s="200"/>
      <c r="AK118" s="698"/>
      <c r="AL118" s="366" t="s">
        <v>501</v>
      </c>
      <c r="AM118" s="198"/>
      <c r="AN118" s="198" t="s">
        <v>445</v>
      </c>
      <c r="AO118" s="198">
        <v>2.4</v>
      </c>
      <c r="AP118" s="198"/>
      <c r="AQ118" s="200"/>
    </row>
    <row r="119" spans="12:43" x14ac:dyDescent="0.25">
      <c r="L119" s="698"/>
      <c r="M119" s="366" t="s">
        <v>502</v>
      </c>
      <c r="N119" s="198"/>
      <c r="O119" s="198" t="s">
        <v>445</v>
      </c>
      <c r="P119" s="198">
        <v>12</v>
      </c>
      <c r="Q119" s="198"/>
      <c r="R119" s="200"/>
      <c r="AK119" s="698"/>
      <c r="AL119" s="366" t="s">
        <v>502</v>
      </c>
      <c r="AM119" s="198"/>
      <c r="AN119" s="198" t="s">
        <v>445</v>
      </c>
      <c r="AO119" s="198">
        <v>3.6</v>
      </c>
      <c r="AP119" s="198"/>
      <c r="AQ119" s="200"/>
    </row>
    <row r="120" spans="12:43" x14ac:dyDescent="0.25">
      <c r="L120" s="698"/>
      <c r="M120" s="366" t="s">
        <v>503</v>
      </c>
      <c r="N120" s="198"/>
      <c r="O120" s="198" t="s">
        <v>445</v>
      </c>
      <c r="P120" s="198">
        <v>42.9</v>
      </c>
      <c r="Q120" s="198"/>
      <c r="R120" s="200"/>
      <c r="AK120" s="698"/>
      <c r="AL120" s="366" t="s">
        <v>503</v>
      </c>
      <c r="AM120" s="198"/>
      <c r="AN120" s="198" t="s">
        <v>445</v>
      </c>
      <c r="AO120" s="198">
        <v>41.9</v>
      </c>
      <c r="AP120" s="198"/>
      <c r="AQ120" s="200"/>
    </row>
    <row r="121" spans="12:43" x14ac:dyDescent="0.25">
      <c r="L121" s="698"/>
      <c r="M121" s="366" t="s">
        <v>504</v>
      </c>
      <c r="N121" s="198"/>
      <c r="O121" s="198" t="s">
        <v>449</v>
      </c>
      <c r="P121" s="198">
        <v>90.878100000000003</v>
      </c>
      <c r="Q121" s="198"/>
      <c r="R121" s="200"/>
      <c r="AK121" s="698"/>
      <c r="AL121" s="366" t="s">
        <v>504</v>
      </c>
      <c r="AM121" s="198"/>
      <c r="AN121" s="198" t="s">
        <v>449</v>
      </c>
      <c r="AO121" s="198">
        <v>207.22020000000001</v>
      </c>
      <c r="AP121" s="198"/>
      <c r="AQ121" s="200"/>
    </row>
    <row r="122" spans="12:43" x14ac:dyDescent="0.25">
      <c r="L122" s="698"/>
      <c r="M122" s="366" t="s">
        <v>505</v>
      </c>
      <c r="N122" s="198"/>
      <c r="O122" s="198" t="s">
        <v>449</v>
      </c>
      <c r="P122" s="198">
        <v>53.360700000000001</v>
      </c>
      <c r="Q122" s="198"/>
      <c r="R122" s="200"/>
      <c r="AK122" s="698"/>
      <c r="AL122" s="366" t="s">
        <v>505</v>
      </c>
      <c r="AM122" s="198"/>
      <c r="AN122" s="198" t="s">
        <v>449</v>
      </c>
      <c r="AO122" s="198">
        <v>59.736400000000003</v>
      </c>
      <c r="AP122" s="198"/>
      <c r="AQ122" s="200"/>
    </row>
    <row r="123" spans="12:43" x14ac:dyDescent="0.25">
      <c r="L123" s="698"/>
      <c r="M123" s="366" t="s">
        <v>506</v>
      </c>
      <c r="N123" s="198"/>
      <c r="O123" s="198" t="s">
        <v>449</v>
      </c>
      <c r="P123" s="198">
        <v>37.517400000000002</v>
      </c>
      <c r="Q123" s="198"/>
      <c r="R123" s="200"/>
      <c r="AK123" s="698"/>
      <c r="AL123" s="366" t="s">
        <v>506</v>
      </c>
      <c r="AM123" s="198"/>
      <c r="AN123" s="198" t="s">
        <v>449</v>
      </c>
      <c r="AO123" s="198">
        <v>147.48390000000001</v>
      </c>
      <c r="AP123" s="198"/>
      <c r="AQ123" s="200"/>
    </row>
    <row r="124" spans="12:43" x14ac:dyDescent="0.25">
      <c r="L124" s="698"/>
      <c r="M124" s="366" t="s">
        <v>507</v>
      </c>
      <c r="N124" s="198"/>
      <c r="O124" s="198" t="s">
        <v>449</v>
      </c>
      <c r="P124" s="198">
        <v>-9.0152000000000001</v>
      </c>
      <c r="Q124" s="198"/>
      <c r="R124" s="200"/>
      <c r="AK124" s="698"/>
      <c r="AL124" s="366" t="s">
        <v>507</v>
      </c>
      <c r="AM124" s="198"/>
      <c r="AN124" s="198" t="s">
        <v>449</v>
      </c>
      <c r="AO124" s="198">
        <v>-72.1584</v>
      </c>
      <c r="AP124" s="198"/>
      <c r="AQ124" s="200"/>
    </row>
    <row r="125" spans="12:43" x14ac:dyDescent="0.25">
      <c r="L125" s="698"/>
      <c r="M125" s="366" t="s">
        <v>508</v>
      </c>
      <c r="N125" s="198"/>
      <c r="O125" s="198" t="s">
        <v>449</v>
      </c>
      <c r="P125" s="198">
        <v>41.327399999999997</v>
      </c>
      <c r="Q125" s="198"/>
      <c r="R125" s="200"/>
      <c r="AK125" s="698"/>
      <c r="AL125" s="366" t="s">
        <v>508</v>
      </c>
      <c r="AM125" s="198"/>
      <c r="AN125" s="198" t="s">
        <v>449</v>
      </c>
      <c r="AO125" s="198">
        <v>33.722999999999999</v>
      </c>
      <c r="AP125" s="198"/>
      <c r="AQ125" s="200"/>
    </row>
    <row r="126" spans="12:43" ht="15.75" thickBot="1" x14ac:dyDescent="0.3">
      <c r="L126" s="699"/>
      <c r="M126" s="370" t="s">
        <v>509</v>
      </c>
      <c r="N126" s="371"/>
      <c r="O126" s="371" t="s">
        <v>449</v>
      </c>
      <c r="P126" s="371">
        <v>50.342599999999997</v>
      </c>
      <c r="Q126" s="371"/>
      <c r="R126" s="372"/>
      <c r="AK126" s="699"/>
      <c r="AL126" s="370" t="s">
        <v>509</v>
      </c>
      <c r="AM126" s="371"/>
      <c r="AN126" s="371" t="s">
        <v>449</v>
      </c>
      <c r="AO126" s="371">
        <v>105.8814</v>
      </c>
      <c r="AP126" s="371"/>
      <c r="AQ126" s="372"/>
    </row>
  </sheetData>
  <mergeCells count="39">
    <mergeCell ref="L90:L126"/>
    <mergeCell ref="M6:AI7"/>
    <mergeCell ref="B2:J2"/>
    <mergeCell ref="B3:C5"/>
    <mergeCell ref="D3:F5"/>
    <mergeCell ref="G3:J3"/>
    <mergeCell ref="L43:L50"/>
    <mergeCell ref="L52:L60"/>
    <mergeCell ref="L62:L63"/>
    <mergeCell ref="L65:L67"/>
    <mergeCell ref="L69:L77"/>
    <mergeCell ref="L79:L88"/>
    <mergeCell ref="B13:C13"/>
    <mergeCell ref="N8:AI8"/>
    <mergeCell ref="M8:M9"/>
    <mergeCell ref="L26:L32"/>
    <mergeCell ref="G4:H4"/>
    <mergeCell ref="I4:J4"/>
    <mergeCell ref="L34:L41"/>
    <mergeCell ref="B14:B16"/>
    <mergeCell ref="B6:C6"/>
    <mergeCell ref="B7:C7"/>
    <mergeCell ref="B8:C8"/>
    <mergeCell ref="B9:C9"/>
    <mergeCell ref="B10:C10"/>
    <mergeCell ref="B11:C11"/>
    <mergeCell ref="B12:C12"/>
    <mergeCell ref="AL6:BH7"/>
    <mergeCell ref="AL8:AL9"/>
    <mergeCell ref="AM8:BH8"/>
    <mergeCell ref="AK26:AK32"/>
    <mergeCell ref="AK34:AK41"/>
    <mergeCell ref="AK79:AK88"/>
    <mergeCell ref="AK90:AK126"/>
    <mergeCell ref="AK43:AK50"/>
    <mergeCell ref="AK52:AK60"/>
    <mergeCell ref="AK62:AK63"/>
    <mergeCell ref="AK65:AK67"/>
    <mergeCell ref="AK69:AK7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4CDD9-EC60-4F46-AD5B-0E097EE02503}">
  <sheetPr>
    <tabColor rgb="FF92D050"/>
  </sheetPr>
  <dimension ref="B1:BH126"/>
  <sheetViews>
    <sheetView zoomScale="85" zoomScaleNormal="85" workbookViewId="0">
      <selection activeCell="B2" sqref="B2:J2"/>
    </sheetView>
  </sheetViews>
  <sheetFormatPr defaultColWidth="8.85546875" defaultRowHeight="15" x14ac:dyDescent="0.25"/>
  <cols>
    <col min="1" max="1" width="8.85546875" style="245"/>
    <col min="2" max="2" width="9.7109375" style="198" customWidth="1"/>
    <col min="3" max="3" width="25.140625" style="198" customWidth="1"/>
    <col min="4" max="4" width="22.42578125" style="336" bestFit="1" customWidth="1"/>
    <col min="5" max="5" width="7" style="350" bestFit="1" customWidth="1"/>
    <col min="6" max="6" width="6" style="336" bestFit="1" customWidth="1"/>
    <col min="7" max="7" width="7.5703125" style="245" bestFit="1" customWidth="1"/>
    <col min="8" max="8" width="14.42578125" style="245" customWidth="1"/>
    <col min="9" max="9" width="7.5703125" style="245" bestFit="1" customWidth="1"/>
    <col min="10" max="10" width="14.42578125" style="245" customWidth="1"/>
    <col min="11" max="11" width="8.85546875" style="245"/>
    <col min="12" max="12" width="25.42578125" style="378" customWidth="1"/>
    <col min="13" max="13" width="38.7109375" style="361" customWidth="1"/>
    <col min="14" max="36" width="8.85546875" style="245"/>
    <col min="37" max="37" width="25.42578125" style="378" customWidth="1"/>
    <col min="38" max="38" width="38.7109375" style="361" customWidth="1"/>
    <col min="39" max="16384" width="8.85546875" style="245"/>
  </cols>
  <sheetData>
    <row r="1" spans="2:60" ht="15.75" thickBot="1" x14ac:dyDescent="0.3"/>
    <row r="2" spans="2:60" x14ac:dyDescent="0.25">
      <c r="B2" s="719" t="s">
        <v>578</v>
      </c>
      <c r="C2" s="708"/>
      <c r="D2" s="708"/>
      <c r="E2" s="708"/>
      <c r="F2" s="708"/>
      <c r="G2" s="708"/>
      <c r="H2" s="708"/>
      <c r="I2" s="708"/>
      <c r="J2" s="709"/>
    </row>
    <row r="3" spans="2:60" x14ac:dyDescent="0.25">
      <c r="B3" s="720" t="s">
        <v>519</v>
      </c>
      <c r="C3" s="655"/>
      <c r="D3" s="725" t="s">
        <v>510</v>
      </c>
      <c r="E3" s="726"/>
      <c r="F3" s="727"/>
      <c r="G3" s="601" t="s">
        <v>542</v>
      </c>
      <c r="H3" s="734"/>
      <c r="I3" s="734"/>
      <c r="J3" s="641"/>
    </row>
    <row r="4" spans="2:60" ht="14.45" customHeight="1" x14ac:dyDescent="0.25">
      <c r="B4" s="721"/>
      <c r="C4" s="722"/>
      <c r="D4" s="728"/>
      <c r="E4" s="729"/>
      <c r="F4" s="730"/>
      <c r="G4" s="603" t="s">
        <v>15</v>
      </c>
      <c r="H4" s="603"/>
      <c r="I4" s="603" t="s">
        <v>16</v>
      </c>
      <c r="J4" s="711"/>
    </row>
    <row r="5" spans="2:60" ht="15.75" thickBot="1" x14ac:dyDescent="0.3">
      <c r="B5" s="723"/>
      <c r="C5" s="724"/>
      <c r="D5" s="731"/>
      <c r="E5" s="732"/>
      <c r="F5" s="733"/>
      <c r="G5" s="332" t="s">
        <v>397</v>
      </c>
      <c r="H5" s="332" t="s">
        <v>511</v>
      </c>
      <c r="I5" s="332" t="s">
        <v>397</v>
      </c>
      <c r="J5" s="360" t="s">
        <v>511</v>
      </c>
      <c r="L5" s="379"/>
      <c r="M5" s="362"/>
      <c r="N5" s="321"/>
      <c r="O5" s="321"/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21"/>
      <c r="AA5" s="321"/>
      <c r="AB5" s="321"/>
      <c r="AC5" s="321"/>
      <c r="AD5" s="321"/>
      <c r="AE5" s="321"/>
      <c r="AF5" s="321"/>
      <c r="AG5" s="321"/>
      <c r="AH5" s="321"/>
      <c r="AI5" s="321"/>
      <c r="AK5" s="379"/>
      <c r="AL5" s="362"/>
      <c r="AM5" s="321"/>
      <c r="AN5" s="321"/>
      <c r="AO5" s="321"/>
      <c r="AP5" s="321"/>
      <c r="AQ5" s="321"/>
      <c r="AR5" s="321"/>
      <c r="AS5" s="321"/>
      <c r="AT5" s="321"/>
      <c r="AU5" s="321"/>
      <c r="AV5" s="321"/>
      <c r="AW5" s="321"/>
      <c r="AX5" s="321"/>
      <c r="AY5" s="321"/>
      <c r="AZ5" s="321"/>
      <c r="BA5" s="321"/>
      <c r="BB5" s="321"/>
      <c r="BC5" s="321"/>
      <c r="BD5" s="321"/>
      <c r="BE5" s="321"/>
      <c r="BF5" s="321"/>
      <c r="BG5" s="321"/>
      <c r="BH5" s="321"/>
    </row>
    <row r="6" spans="2:60" x14ac:dyDescent="0.25">
      <c r="B6" s="714" t="s">
        <v>512</v>
      </c>
      <c r="C6" s="715"/>
      <c r="D6" s="387" t="s">
        <v>517</v>
      </c>
      <c r="E6" s="388">
        <f>N32</f>
        <v>3.1513</v>
      </c>
      <c r="F6" s="389" t="s">
        <v>449</v>
      </c>
      <c r="G6" s="340">
        <f>P32</f>
        <v>26.694600000000001</v>
      </c>
      <c r="H6" s="340" t="str">
        <f>IF(G6&gt;=$E6,"PASS","FAIL")</f>
        <v>PASS</v>
      </c>
      <c r="I6" s="340">
        <f>AO32</f>
        <v>84.239099999999993</v>
      </c>
      <c r="J6" s="341" t="str">
        <f>IF(I6&gt;=$E6,"PASS","FAIL")</f>
        <v>PASS</v>
      </c>
      <c r="L6" s="379"/>
      <c r="M6" s="700" t="s">
        <v>541</v>
      </c>
      <c r="N6" s="701"/>
      <c r="O6" s="701"/>
      <c r="P6" s="701"/>
      <c r="Q6" s="701"/>
      <c r="R6" s="701"/>
      <c r="S6" s="701"/>
      <c r="T6" s="701"/>
      <c r="U6" s="701"/>
      <c r="V6" s="701"/>
      <c r="W6" s="701"/>
      <c r="X6" s="701"/>
      <c r="Y6" s="701"/>
      <c r="Z6" s="701"/>
      <c r="AA6" s="701"/>
      <c r="AB6" s="701"/>
      <c r="AC6" s="701"/>
      <c r="AD6" s="701"/>
      <c r="AE6" s="701"/>
      <c r="AF6" s="701"/>
      <c r="AG6" s="701"/>
      <c r="AH6" s="701"/>
      <c r="AI6" s="702"/>
      <c r="AK6" s="379"/>
      <c r="AL6" s="700" t="s">
        <v>595</v>
      </c>
      <c r="AM6" s="701"/>
      <c r="AN6" s="701"/>
      <c r="AO6" s="701"/>
      <c r="AP6" s="701"/>
      <c r="AQ6" s="701"/>
      <c r="AR6" s="701"/>
      <c r="AS6" s="701"/>
      <c r="AT6" s="701"/>
      <c r="AU6" s="701"/>
      <c r="AV6" s="701"/>
      <c r="AW6" s="701"/>
      <c r="AX6" s="701"/>
      <c r="AY6" s="701"/>
      <c r="AZ6" s="701"/>
      <c r="BA6" s="701"/>
      <c r="BB6" s="701"/>
      <c r="BC6" s="701"/>
      <c r="BD6" s="701"/>
      <c r="BE6" s="701"/>
      <c r="BF6" s="701"/>
      <c r="BG6" s="701"/>
      <c r="BH6" s="702"/>
    </row>
    <row r="7" spans="2:60" ht="15.75" thickBot="1" x14ac:dyDescent="0.3">
      <c r="B7" s="712" t="s">
        <v>513</v>
      </c>
      <c r="C7" s="716"/>
      <c r="D7" s="354" t="s">
        <v>517</v>
      </c>
      <c r="E7" s="355">
        <f>N41</f>
        <v>5.1566000000000001</v>
      </c>
      <c r="F7" s="356" t="s">
        <v>449</v>
      </c>
      <c r="G7" s="202">
        <f>P41</f>
        <v>41.879899999999999</v>
      </c>
      <c r="H7" s="340" t="str">
        <f t="shared" ref="H7:J11" si="0">IF(G7&gt;=$E7,"PASS","FAIL")</f>
        <v>PASS</v>
      </c>
      <c r="I7" s="202">
        <f>AO41</f>
        <v>131.20060000000001</v>
      </c>
      <c r="J7" s="341" t="str">
        <f t="shared" si="0"/>
        <v>PASS</v>
      </c>
      <c r="L7" s="379"/>
      <c r="M7" s="703"/>
      <c r="N7" s="704"/>
      <c r="O7" s="704"/>
      <c r="P7" s="704"/>
      <c r="Q7" s="704"/>
      <c r="R7" s="704"/>
      <c r="S7" s="704"/>
      <c r="T7" s="704"/>
      <c r="U7" s="704"/>
      <c r="V7" s="704"/>
      <c r="W7" s="704"/>
      <c r="X7" s="704"/>
      <c r="Y7" s="704"/>
      <c r="Z7" s="704"/>
      <c r="AA7" s="704"/>
      <c r="AB7" s="704"/>
      <c r="AC7" s="704"/>
      <c r="AD7" s="704"/>
      <c r="AE7" s="704"/>
      <c r="AF7" s="704"/>
      <c r="AG7" s="704"/>
      <c r="AH7" s="704"/>
      <c r="AI7" s="705"/>
      <c r="AK7" s="379"/>
      <c r="AL7" s="703"/>
      <c r="AM7" s="704"/>
      <c r="AN7" s="704"/>
      <c r="AO7" s="704"/>
      <c r="AP7" s="704"/>
      <c r="AQ7" s="704"/>
      <c r="AR7" s="704"/>
      <c r="AS7" s="704"/>
      <c r="AT7" s="704"/>
      <c r="AU7" s="704"/>
      <c r="AV7" s="704"/>
      <c r="AW7" s="704"/>
      <c r="AX7" s="704"/>
      <c r="AY7" s="704"/>
      <c r="AZ7" s="704"/>
      <c r="BA7" s="704"/>
      <c r="BB7" s="704"/>
      <c r="BC7" s="704"/>
      <c r="BD7" s="704"/>
      <c r="BE7" s="704"/>
      <c r="BF7" s="704"/>
      <c r="BG7" s="704"/>
      <c r="BH7" s="705"/>
    </row>
    <row r="8" spans="2:60" x14ac:dyDescent="0.25">
      <c r="B8" s="712" t="s">
        <v>514</v>
      </c>
      <c r="C8" s="716"/>
      <c r="D8" s="354" t="s">
        <v>517</v>
      </c>
      <c r="E8" s="355">
        <f>N50</f>
        <v>1.7189000000000001</v>
      </c>
      <c r="F8" s="356" t="s">
        <v>449</v>
      </c>
      <c r="G8" s="202">
        <f>P50</f>
        <v>15.1853</v>
      </c>
      <c r="H8" s="340" t="str">
        <f t="shared" si="0"/>
        <v>PASS</v>
      </c>
      <c r="I8" s="202">
        <f>AO50</f>
        <v>46.961500000000001</v>
      </c>
      <c r="J8" s="341" t="str">
        <f t="shared" si="0"/>
        <v>PASS</v>
      </c>
      <c r="M8" s="706" t="s">
        <v>544</v>
      </c>
      <c r="N8" s="708" t="s">
        <v>540</v>
      </c>
      <c r="O8" s="708"/>
      <c r="P8" s="708"/>
      <c r="Q8" s="708"/>
      <c r="R8" s="708"/>
      <c r="S8" s="708"/>
      <c r="T8" s="708"/>
      <c r="U8" s="708"/>
      <c r="V8" s="708"/>
      <c r="W8" s="708"/>
      <c r="X8" s="708"/>
      <c r="Y8" s="708"/>
      <c r="Z8" s="708"/>
      <c r="AA8" s="708"/>
      <c r="AB8" s="708"/>
      <c r="AC8" s="708"/>
      <c r="AD8" s="708"/>
      <c r="AE8" s="708"/>
      <c r="AF8" s="708"/>
      <c r="AG8" s="708"/>
      <c r="AH8" s="708"/>
      <c r="AI8" s="709"/>
      <c r="AL8" s="706" t="s">
        <v>543</v>
      </c>
      <c r="AM8" s="708" t="s">
        <v>540</v>
      </c>
      <c r="AN8" s="708"/>
      <c r="AO8" s="708"/>
      <c r="AP8" s="708"/>
      <c r="AQ8" s="708"/>
      <c r="AR8" s="708"/>
      <c r="AS8" s="708"/>
      <c r="AT8" s="708"/>
      <c r="AU8" s="708"/>
      <c r="AV8" s="708"/>
      <c r="AW8" s="708"/>
      <c r="AX8" s="708"/>
      <c r="AY8" s="708"/>
      <c r="AZ8" s="708"/>
      <c r="BA8" s="708"/>
      <c r="BB8" s="708"/>
      <c r="BC8" s="708"/>
      <c r="BD8" s="708"/>
      <c r="BE8" s="708"/>
      <c r="BF8" s="708"/>
      <c r="BG8" s="708"/>
      <c r="BH8" s="709"/>
    </row>
    <row r="9" spans="2:60" ht="15.75" thickBot="1" x14ac:dyDescent="0.3">
      <c r="B9" s="717" t="s">
        <v>515</v>
      </c>
      <c r="C9" s="718"/>
      <c r="D9" s="354" t="s">
        <v>517</v>
      </c>
      <c r="E9" s="355">
        <f>N58</f>
        <v>0.2</v>
      </c>
      <c r="F9" s="356" t="s">
        <v>449</v>
      </c>
      <c r="G9" s="202">
        <f>P58</f>
        <v>2.4790000000000001</v>
      </c>
      <c r="H9" s="340" t="str">
        <f t="shared" si="0"/>
        <v>PASS</v>
      </c>
      <c r="I9" s="202">
        <f>AO58</f>
        <v>4.9119999999999999</v>
      </c>
      <c r="J9" s="341" t="str">
        <f t="shared" si="0"/>
        <v>PASS</v>
      </c>
      <c r="M9" s="707"/>
      <c r="N9" s="332">
        <v>-30</v>
      </c>
      <c r="O9" s="332">
        <v>-20</v>
      </c>
      <c r="P9" s="332">
        <v>-10</v>
      </c>
      <c r="Q9" s="332">
        <v>0</v>
      </c>
      <c r="R9" s="332">
        <v>10</v>
      </c>
      <c r="S9" s="332">
        <v>20</v>
      </c>
      <c r="T9" s="332">
        <v>30</v>
      </c>
      <c r="U9" s="332">
        <v>40</v>
      </c>
      <c r="V9" s="332">
        <v>50</v>
      </c>
      <c r="W9" s="332">
        <v>60</v>
      </c>
      <c r="X9" s="332">
        <v>70</v>
      </c>
      <c r="Y9" s="332">
        <v>80</v>
      </c>
      <c r="Z9" s="332">
        <v>90</v>
      </c>
      <c r="AA9" s="332">
        <v>100</v>
      </c>
      <c r="AB9" s="332">
        <v>110</v>
      </c>
      <c r="AC9" s="332">
        <v>120</v>
      </c>
      <c r="AD9" s="332">
        <v>130</v>
      </c>
      <c r="AE9" s="332">
        <v>140</v>
      </c>
      <c r="AF9" s="332">
        <v>150</v>
      </c>
      <c r="AG9" s="332">
        <v>160</v>
      </c>
      <c r="AH9" s="332">
        <v>170</v>
      </c>
      <c r="AI9" s="360">
        <v>180</v>
      </c>
      <c r="AL9" s="707"/>
      <c r="AM9" s="332">
        <v>-30</v>
      </c>
      <c r="AN9" s="332">
        <v>-20</v>
      </c>
      <c r="AO9" s="332">
        <v>-10</v>
      </c>
      <c r="AP9" s="332">
        <v>0</v>
      </c>
      <c r="AQ9" s="332">
        <v>10</v>
      </c>
      <c r="AR9" s="332">
        <v>20</v>
      </c>
      <c r="AS9" s="332">
        <v>30</v>
      </c>
      <c r="AT9" s="332">
        <v>40</v>
      </c>
      <c r="AU9" s="332">
        <v>50</v>
      </c>
      <c r="AV9" s="332">
        <v>60</v>
      </c>
      <c r="AW9" s="332">
        <v>70</v>
      </c>
      <c r="AX9" s="332">
        <v>80</v>
      </c>
      <c r="AY9" s="332">
        <v>90</v>
      </c>
      <c r="AZ9" s="332">
        <v>100</v>
      </c>
      <c r="BA9" s="332">
        <v>110</v>
      </c>
      <c r="BB9" s="332">
        <v>120</v>
      </c>
      <c r="BC9" s="332">
        <v>130</v>
      </c>
      <c r="BD9" s="332">
        <v>140</v>
      </c>
      <c r="BE9" s="332">
        <v>150</v>
      </c>
      <c r="BF9" s="332">
        <v>160</v>
      </c>
      <c r="BG9" s="332">
        <v>170</v>
      </c>
      <c r="BH9" s="360">
        <v>180</v>
      </c>
    </row>
    <row r="10" spans="2:60" x14ac:dyDescent="0.25">
      <c r="B10" s="717" t="s">
        <v>516</v>
      </c>
      <c r="C10" s="718"/>
      <c r="D10" s="354" t="s">
        <v>517</v>
      </c>
      <c r="E10" s="355">
        <f>N63</f>
        <v>25</v>
      </c>
      <c r="F10" s="356" t="s">
        <v>445</v>
      </c>
      <c r="G10" s="202">
        <f>P63</f>
        <v>108.2</v>
      </c>
      <c r="H10" s="340" t="str">
        <f t="shared" si="0"/>
        <v>PASS</v>
      </c>
      <c r="I10" s="202">
        <f>AO63</f>
        <v>99.1</v>
      </c>
      <c r="J10" s="341" t="str">
        <f t="shared" si="0"/>
        <v>PASS</v>
      </c>
      <c r="M10" s="363" t="s">
        <v>527</v>
      </c>
      <c r="N10" s="340">
        <v>-1.4279999999999999</v>
      </c>
      <c r="O10" s="340">
        <v>-1.167</v>
      </c>
      <c r="P10" s="340">
        <v>-0.72899999999999998</v>
      </c>
      <c r="Q10" s="340">
        <v>0</v>
      </c>
      <c r="R10" s="340">
        <v>0.72899999999999998</v>
      </c>
      <c r="S10" s="340">
        <v>1.17</v>
      </c>
      <c r="T10" s="340">
        <v>1.4430000000000001</v>
      </c>
      <c r="U10" s="340">
        <v>1.5740000000000001</v>
      </c>
      <c r="V10" s="340">
        <v>1.6259999999999999</v>
      </c>
      <c r="W10" s="340">
        <v>1.653</v>
      </c>
      <c r="X10" s="340">
        <v>1.7450000000000001</v>
      </c>
      <c r="Y10" s="340">
        <v>2.0990000000000002</v>
      </c>
      <c r="Z10" s="340">
        <v>2.4790000000000001</v>
      </c>
      <c r="AA10" s="340">
        <v>2.718</v>
      </c>
      <c r="AB10" s="340">
        <v>2.8069999999999999</v>
      </c>
      <c r="AC10" s="340">
        <v>2.569</v>
      </c>
      <c r="AD10" s="340">
        <v>2.097</v>
      </c>
      <c r="AE10" s="340">
        <v>1.5229999999999999</v>
      </c>
      <c r="AF10" s="340">
        <v>0.92800000000000005</v>
      </c>
      <c r="AG10" s="340">
        <v>0.35</v>
      </c>
      <c r="AH10" s="340">
        <v>0.17299999999999999</v>
      </c>
      <c r="AI10" s="341">
        <v>0</v>
      </c>
      <c r="AL10" s="363" t="s">
        <v>527</v>
      </c>
      <c r="AM10" s="340">
        <v>-4.7619999999999996</v>
      </c>
      <c r="AN10" s="340">
        <v>-3.9039999999999999</v>
      </c>
      <c r="AO10" s="340">
        <v>-1.9990000000000001</v>
      </c>
      <c r="AP10" s="340">
        <v>-3.0000000000000001E-3</v>
      </c>
      <c r="AQ10" s="340">
        <v>1.994</v>
      </c>
      <c r="AR10" s="340">
        <v>3.903</v>
      </c>
      <c r="AS10" s="340">
        <v>4.7640000000000002</v>
      </c>
      <c r="AT10" s="340">
        <v>4.5330000000000004</v>
      </c>
      <c r="AU10" s="340">
        <v>4.1879999999999997</v>
      </c>
      <c r="AV10" s="340">
        <v>3.7690000000000001</v>
      </c>
      <c r="AW10" s="340">
        <v>3.3919999999999999</v>
      </c>
      <c r="AX10" s="340">
        <v>3.6179999999999999</v>
      </c>
      <c r="AY10" s="340">
        <v>4.9119999999999999</v>
      </c>
      <c r="AZ10" s="340">
        <v>5.3310000000000004</v>
      </c>
      <c r="BA10" s="340">
        <v>4.9450000000000003</v>
      </c>
      <c r="BB10" s="340">
        <v>4.085</v>
      </c>
      <c r="BC10" s="340">
        <v>2.9929999999999999</v>
      </c>
      <c r="BD10" s="340">
        <v>1.768</v>
      </c>
      <c r="BE10" s="340">
        <v>0.53900000000000003</v>
      </c>
      <c r="BF10" s="340">
        <v>-0.54500000000000004</v>
      </c>
      <c r="BG10" s="340">
        <v>-1.052</v>
      </c>
      <c r="BH10" s="341">
        <v>0</v>
      </c>
    </row>
    <row r="11" spans="2:60" ht="30" x14ac:dyDescent="0.25">
      <c r="B11" s="717" t="s">
        <v>518</v>
      </c>
      <c r="C11" s="718"/>
      <c r="D11" s="354" t="s">
        <v>517</v>
      </c>
      <c r="E11" s="355">
        <f>N67</f>
        <v>0.15</v>
      </c>
      <c r="F11" s="356" t="s">
        <v>71</v>
      </c>
      <c r="G11" s="202">
        <f>P67</f>
        <v>5.0570000000000004</v>
      </c>
      <c r="H11" s="340" t="str">
        <f t="shared" si="0"/>
        <v>PASS</v>
      </c>
      <c r="I11" s="202">
        <f>AO67</f>
        <v>11.481</v>
      </c>
      <c r="J11" s="341" t="str">
        <f t="shared" si="0"/>
        <v>PASS</v>
      </c>
      <c r="M11" s="364" t="s">
        <v>528</v>
      </c>
      <c r="N11" s="202">
        <v>26.563800000000001</v>
      </c>
      <c r="O11" s="202">
        <v>13.5235</v>
      </c>
      <c r="P11" s="202">
        <v>3.8109999999999999</v>
      </c>
      <c r="Q11" s="202">
        <v>0</v>
      </c>
      <c r="R11" s="202">
        <v>3.8130000000000002</v>
      </c>
      <c r="S11" s="202">
        <v>13.518800000000001</v>
      </c>
      <c r="T11" s="202">
        <v>26.694600000000001</v>
      </c>
      <c r="U11" s="202">
        <v>41.879899999999999</v>
      </c>
      <c r="V11" s="202">
        <v>57.916600000000003</v>
      </c>
      <c r="W11" s="202">
        <v>74.313800000000001</v>
      </c>
      <c r="X11" s="202">
        <v>91.134399999999999</v>
      </c>
      <c r="Y11" s="202">
        <v>110.1968</v>
      </c>
      <c r="Z11" s="202">
        <v>133.17179999999999</v>
      </c>
      <c r="AA11" s="202">
        <v>159.26410000000001</v>
      </c>
      <c r="AB11" s="202">
        <v>187.09299999999999</v>
      </c>
      <c r="AC11" s="202">
        <v>214.23929999999999</v>
      </c>
      <c r="AD11" s="202">
        <v>237.70429999999999</v>
      </c>
      <c r="AE11" s="202">
        <v>255.83529999999999</v>
      </c>
      <c r="AF11" s="202">
        <v>268.1413</v>
      </c>
      <c r="AG11" s="202">
        <v>274.31119999999999</v>
      </c>
      <c r="AH11" s="202">
        <v>276.71159999999998</v>
      </c>
      <c r="AI11" s="337">
        <v>277.64359999999999</v>
      </c>
      <c r="AL11" s="364" t="s">
        <v>528</v>
      </c>
      <c r="AM11" s="202">
        <v>83.990300000000005</v>
      </c>
      <c r="AN11" s="202">
        <v>39.983199999999997</v>
      </c>
      <c r="AO11" s="202">
        <v>9.9050999999999991</v>
      </c>
      <c r="AP11" s="202">
        <v>-5.1000000000000004E-3</v>
      </c>
      <c r="AQ11" s="202">
        <v>9.8711000000000002</v>
      </c>
      <c r="AR11" s="202">
        <v>39.8108</v>
      </c>
      <c r="AS11" s="202">
        <v>84.239099999999993</v>
      </c>
      <c r="AT11" s="202">
        <v>131.20060000000001</v>
      </c>
      <c r="AU11" s="202">
        <v>174.78659999999999</v>
      </c>
      <c r="AV11" s="202">
        <v>214.63929999999999</v>
      </c>
      <c r="AW11" s="202">
        <v>250.26769999999999</v>
      </c>
      <c r="AX11" s="202">
        <v>284.35860000000002</v>
      </c>
      <c r="AY11" s="202">
        <v>326.89249999999998</v>
      </c>
      <c r="AZ11" s="202">
        <v>379.05880000000002</v>
      </c>
      <c r="BA11" s="202">
        <v>430.92880000000002</v>
      </c>
      <c r="BB11" s="202">
        <v>476.36219999999997</v>
      </c>
      <c r="BC11" s="202">
        <v>511.89210000000003</v>
      </c>
      <c r="BD11" s="202">
        <v>535.76089999999999</v>
      </c>
      <c r="BE11" s="202">
        <v>547.23239999999998</v>
      </c>
      <c r="BF11" s="202">
        <v>547.03480000000002</v>
      </c>
      <c r="BG11" s="202">
        <v>538.00360000000001</v>
      </c>
      <c r="BH11" s="337">
        <v>531.80060000000003</v>
      </c>
    </row>
    <row r="12" spans="2:60" x14ac:dyDescent="0.25">
      <c r="B12" s="717" t="s">
        <v>520</v>
      </c>
      <c r="C12" s="718"/>
      <c r="D12" s="354" t="s">
        <v>524</v>
      </c>
      <c r="E12" s="355">
        <f>N75</f>
        <v>10</v>
      </c>
      <c r="F12" s="356" t="s">
        <v>445</v>
      </c>
      <c r="G12" s="202">
        <f>P75</f>
        <v>0</v>
      </c>
      <c r="H12" s="340" t="str">
        <f>IF(G12&lt;=$E12,"PASS","FAIL")</f>
        <v>PASS</v>
      </c>
      <c r="I12" s="202">
        <f>AO75</f>
        <v>0</v>
      </c>
      <c r="J12" s="341" t="str">
        <f>IF(I12&lt;=$E12,"PASS","FAIL")</f>
        <v>PASS</v>
      </c>
      <c r="M12" s="364" t="s">
        <v>529</v>
      </c>
      <c r="N12" s="202">
        <v>108890</v>
      </c>
      <c r="O12" s="202">
        <v>108891</v>
      </c>
      <c r="P12" s="202">
        <v>108884</v>
      </c>
      <c r="Q12" s="202">
        <v>108889</v>
      </c>
      <c r="R12" s="202">
        <v>108890</v>
      </c>
      <c r="S12" s="202">
        <v>108890</v>
      </c>
      <c r="T12" s="202">
        <v>108898</v>
      </c>
      <c r="U12" s="202">
        <v>108890</v>
      </c>
      <c r="V12" s="202">
        <v>108893</v>
      </c>
      <c r="W12" s="202">
        <v>108895</v>
      </c>
      <c r="X12" s="202">
        <v>108890</v>
      </c>
      <c r="Y12" s="202">
        <v>108898</v>
      </c>
      <c r="Z12" s="202">
        <v>108899</v>
      </c>
      <c r="AA12" s="202">
        <v>108892</v>
      </c>
      <c r="AB12" s="202">
        <v>108893</v>
      </c>
      <c r="AC12" s="202">
        <v>108890</v>
      </c>
      <c r="AD12" s="202">
        <v>108893</v>
      </c>
      <c r="AE12" s="202">
        <v>108892</v>
      </c>
      <c r="AF12" s="202">
        <v>108892</v>
      </c>
      <c r="AG12" s="202">
        <v>108889</v>
      </c>
      <c r="AH12" s="202">
        <v>108885</v>
      </c>
      <c r="AI12" s="337">
        <v>108888</v>
      </c>
      <c r="AL12" s="364" t="s">
        <v>529</v>
      </c>
      <c r="AM12" s="202">
        <v>145047</v>
      </c>
      <c r="AN12" s="202">
        <v>145036</v>
      </c>
      <c r="AO12" s="202">
        <v>145041</v>
      </c>
      <c r="AP12" s="202">
        <v>145046</v>
      </c>
      <c r="AQ12" s="202">
        <v>145046</v>
      </c>
      <c r="AR12" s="202">
        <v>145050</v>
      </c>
      <c r="AS12" s="202">
        <v>145058</v>
      </c>
      <c r="AT12" s="202">
        <v>145056</v>
      </c>
      <c r="AU12" s="202">
        <v>145047</v>
      </c>
      <c r="AV12" s="202">
        <v>145047</v>
      </c>
      <c r="AW12" s="202">
        <v>145047</v>
      </c>
      <c r="AX12" s="202">
        <v>145044</v>
      </c>
      <c r="AY12" s="202">
        <v>145047</v>
      </c>
      <c r="AZ12" s="202">
        <v>145047</v>
      </c>
      <c r="BA12" s="202">
        <v>145048</v>
      </c>
      <c r="BB12" s="202">
        <v>145047</v>
      </c>
      <c r="BC12" s="202">
        <v>145044</v>
      </c>
      <c r="BD12" s="202">
        <v>145043</v>
      </c>
      <c r="BE12" s="202">
        <v>145044</v>
      </c>
      <c r="BF12" s="202">
        <v>145048</v>
      </c>
      <c r="BG12" s="202">
        <v>145049</v>
      </c>
      <c r="BH12" s="337">
        <v>145045</v>
      </c>
    </row>
    <row r="13" spans="2:60" x14ac:dyDescent="0.25">
      <c r="B13" s="717" t="s">
        <v>521</v>
      </c>
      <c r="C13" s="718"/>
      <c r="D13" s="354" t="s">
        <v>524</v>
      </c>
      <c r="E13" s="355">
        <f>N86</f>
        <v>10</v>
      </c>
      <c r="F13" s="356" t="s">
        <v>445</v>
      </c>
      <c r="G13" s="202">
        <f>P86</f>
        <v>0</v>
      </c>
      <c r="H13" s="340" t="str">
        <f t="shared" ref="H13:J15" si="1">IF(G13&lt;=$E13,"PASS","FAIL")</f>
        <v>PASS</v>
      </c>
      <c r="I13" s="202">
        <f>AO86</f>
        <v>0</v>
      </c>
      <c r="J13" s="341" t="str">
        <f t="shared" si="1"/>
        <v>PASS</v>
      </c>
      <c r="M13" s="364" t="s">
        <v>530</v>
      </c>
      <c r="N13" s="202">
        <v>0.65800000000000003</v>
      </c>
      <c r="O13" s="202">
        <v>0.89100000000000001</v>
      </c>
      <c r="P13" s="202">
        <v>1.0209999999999999</v>
      </c>
      <c r="Q13" s="202">
        <v>1.0620000000000001</v>
      </c>
      <c r="R13" s="202">
        <v>1.022</v>
      </c>
      <c r="S13" s="202">
        <v>0.89</v>
      </c>
      <c r="T13" s="202">
        <v>0.65100000000000002</v>
      </c>
      <c r="U13" s="202">
        <v>0.26900000000000002</v>
      </c>
      <c r="V13" s="202">
        <v>-0.35299999999999998</v>
      </c>
      <c r="W13" s="202">
        <v>-1.4710000000000001</v>
      </c>
      <c r="X13" s="202">
        <v>-3.851</v>
      </c>
      <c r="Y13" s="202">
        <v>-11.512</v>
      </c>
      <c r="Z13" s="202" t="s">
        <v>452</v>
      </c>
      <c r="AA13" s="202">
        <v>-19.463999999999999</v>
      </c>
      <c r="AB13" s="202">
        <v>-11.641</v>
      </c>
      <c r="AC13" s="202">
        <v>-9.1489999999999991</v>
      </c>
      <c r="AD13" s="202">
        <v>-7.9889999999999999</v>
      </c>
      <c r="AE13" s="202">
        <v>-7.3490000000000002</v>
      </c>
      <c r="AF13" s="202">
        <v>-6.9770000000000003</v>
      </c>
      <c r="AG13" s="202">
        <v>-6.8609999999999998</v>
      </c>
      <c r="AH13" s="202">
        <v>-6.782</v>
      </c>
      <c r="AI13" s="337">
        <v>-6.742</v>
      </c>
      <c r="AL13" s="364" t="s">
        <v>530</v>
      </c>
      <c r="AM13" s="202">
        <v>2.1989999999999998</v>
      </c>
      <c r="AN13" s="202">
        <v>2.9079999999999999</v>
      </c>
      <c r="AO13" s="202">
        <v>3.1320000000000001</v>
      </c>
      <c r="AP13" s="202">
        <v>3.194</v>
      </c>
      <c r="AQ13" s="202">
        <v>3.1320000000000001</v>
      </c>
      <c r="AR13" s="202">
        <v>2.9089999999999998</v>
      </c>
      <c r="AS13" s="202">
        <v>2.2010000000000001</v>
      </c>
      <c r="AT13" s="202">
        <v>0.95799999999999996</v>
      </c>
      <c r="AU13" s="202">
        <v>-0.72499999999999998</v>
      </c>
      <c r="AV13" s="202">
        <v>-3.3109999999999999</v>
      </c>
      <c r="AW13" s="202">
        <v>-8.2149999999999999</v>
      </c>
      <c r="AX13" s="202">
        <v>-22.675000000000001</v>
      </c>
      <c r="AY13" s="202" t="s">
        <v>452</v>
      </c>
      <c r="AZ13" s="202">
        <v>-34.517000000000003</v>
      </c>
      <c r="BA13" s="202">
        <v>-20.622</v>
      </c>
      <c r="BB13" s="202">
        <v>-16</v>
      </c>
      <c r="BC13" s="202">
        <v>-13.823</v>
      </c>
      <c r="BD13" s="202">
        <v>-12.375</v>
      </c>
      <c r="BE13" s="202">
        <v>-11.406000000000001</v>
      </c>
      <c r="BF13" s="202">
        <v>-10.74</v>
      </c>
      <c r="BG13" s="202">
        <v>-10.349</v>
      </c>
      <c r="BH13" s="337">
        <v>-10.281000000000001</v>
      </c>
    </row>
    <row r="14" spans="2:60" x14ac:dyDescent="0.25">
      <c r="B14" s="712" t="s">
        <v>522</v>
      </c>
      <c r="C14" s="352" t="s">
        <v>523</v>
      </c>
      <c r="D14" s="354" t="s">
        <v>524</v>
      </c>
      <c r="E14" s="355">
        <f>N109</f>
        <v>16</v>
      </c>
      <c r="F14" s="356" t="s">
        <v>445</v>
      </c>
      <c r="G14" s="202">
        <f>P109</f>
        <v>4.7</v>
      </c>
      <c r="H14" s="340" t="str">
        <f t="shared" si="1"/>
        <v>PASS</v>
      </c>
      <c r="I14" s="202">
        <f>AO109</f>
        <v>1.8</v>
      </c>
      <c r="J14" s="341" t="str">
        <f t="shared" si="1"/>
        <v>PASS</v>
      </c>
      <c r="M14" s="364" t="s">
        <v>531</v>
      </c>
      <c r="N14" s="202">
        <v>0.65800000000000003</v>
      </c>
      <c r="O14" s="202">
        <v>0.89100000000000001</v>
      </c>
      <c r="P14" s="202">
        <v>1.0209999999999999</v>
      </c>
      <c r="Q14" s="202">
        <v>1.0620000000000001</v>
      </c>
      <c r="R14" s="202">
        <v>1.022</v>
      </c>
      <c r="S14" s="202">
        <v>0.89</v>
      </c>
      <c r="T14" s="202">
        <v>0.65100000000000002</v>
      </c>
      <c r="U14" s="202">
        <v>0.26900000000000002</v>
      </c>
      <c r="V14" s="202">
        <v>-0.35299999999999998</v>
      </c>
      <c r="W14" s="202">
        <v>-1.4710000000000001</v>
      </c>
      <c r="X14" s="202">
        <v>-3.851</v>
      </c>
      <c r="Y14" s="202">
        <v>-11.512</v>
      </c>
      <c r="Z14" s="202" t="s">
        <v>452</v>
      </c>
      <c r="AA14" s="202">
        <v>-19.463999999999999</v>
      </c>
      <c r="AB14" s="202">
        <v>-11.641</v>
      </c>
      <c r="AC14" s="202">
        <v>-9.1489999999999991</v>
      </c>
      <c r="AD14" s="202">
        <v>-7.9889999999999999</v>
      </c>
      <c r="AE14" s="202">
        <v>-7.3490000000000002</v>
      </c>
      <c r="AF14" s="202">
        <v>-6.9770000000000003</v>
      </c>
      <c r="AG14" s="202">
        <v>-6.8609999999999998</v>
      </c>
      <c r="AH14" s="202">
        <v>-6.782</v>
      </c>
      <c r="AI14" s="337">
        <v>-6.742</v>
      </c>
      <c r="AL14" s="364" t="s">
        <v>531</v>
      </c>
      <c r="AM14" s="202">
        <v>2.1989999999999998</v>
      </c>
      <c r="AN14" s="202">
        <v>2.9079999999999999</v>
      </c>
      <c r="AO14" s="202">
        <v>3.1320000000000001</v>
      </c>
      <c r="AP14" s="202">
        <v>3.194</v>
      </c>
      <c r="AQ14" s="202">
        <v>3.1320000000000001</v>
      </c>
      <c r="AR14" s="202">
        <v>2.9089999999999998</v>
      </c>
      <c r="AS14" s="202">
        <v>2.2010000000000001</v>
      </c>
      <c r="AT14" s="202">
        <v>0.95799999999999996</v>
      </c>
      <c r="AU14" s="202">
        <v>-0.72499999999999998</v>
      </c>
      <c r="AV14" s="202">
        <v>-3.3109999999999999</v>
      </c>
      <c r="AW14" s="202">
        <v>-8.2149999999999999</v>
      </c>
      <c r="AX14" s="202">
        <v>-22.675000000000001</v>
      </c>
      <c r="AY14" s="202" t="s">
        <v>452</v>
      </c>
      <c r="AZ14" s="202">
        <v>-34.517000000000003</v>
      </c>
      <c r="BA14" s="202">
        <v>-20.622</v>
      </c>
      <c r="BB14" s="202">
        <v>-16</v>
      </c>
      <c r="BC14" s="202">
        <v>-13.823</v>
      </c>
      <c r="BD14" s="202">
        <v>-12.375</v>
      </c>
      <c r="BE14" s="202">
        <v>-11.406000000000001</v>
      </c>
      <c r="BF14" s="202">
        <v>-10.74</v>
      </c>
      <c r="BG14" s="202">
        <v>-10.349</v>
      </c>
      <c r="BH14" s="337">
        <v>-10.281000000000001</v>
      </c>
    </row>
    <row r="15" spans="2:60" ht="45" x14ac:dyDescent="0.25">
      <c r="B15" s="712"/>
      <c r="C15" s="351" t="s">
        <v>525</v>
      </c>
      <c r="D15" s="354" t="s">
        <v>524</v>
      </c>
      <c r="E15" s="355">
        <f t="shared" ref="E15:E16" si="2">N110</f>
        <v>80</v>
      </c>
      <c r="F15" s="356" t="s">
        <v>475</v>
      </c>
      <c r="G15" s="202">
        <f>P110</f>
        <v>16.920000000000002</v>
      </c>
      <c r="H15" s="340" t="str">
        <f t="shared" si="1"/>
        <v>PASS</v>
      </c>
      <c r="I15" s="202">
        <f t="shared" ref="I15:I16" si="3">AO110</f>
        <v>19.54</v>
      </c>
      <c r="J15" s="341" t="str">
        <f t="shared" si="1"/>
        <v>PASS</v>
      </c>
      <c r="M15" s="364" t="s">
        <v>532</v>
      </c>
      <c r="N15" s="202">
        <v>26.254000000000001</v>
      </c>
      <c r="O15" s="202">
        <v>26.632000000000001</v>
      </c>
      <c r="P15" s="202">
        <v>26.774000000000001</v>
      </c>
      <c r="Q15" s="202">
        <v>26.814</v>
      </c>
      <c r="R15" s="202">
        <v>26.774999999999999</v>
      </c>
      <c r="S15" s="202">
        <v>26.631</v>
      </c>
      <c r="T15" s="202">
        <v>26.238</v>
      </c>
      <c r="U15" s="202">
        <v>24.95</v>
      </c>
      <c r="V15" s="202">
        <v>24.295999999999999</v>
      </c>
      <c r="W15" s="202">
        <v>23.856999999999999</v>
      </c>
      <c r="X15" s="202">
        <v>23.43</v>
      </c>
      <c r="Y15" s="202">
        <v>23.114000000000001</v>
      </c>
      <c r="Z15" s="202">
        <v>23.811</v>
      </c>
      <c r="AA15" s="202">
        <v>24.03</v>
      </c>
      <c r="AB15" s="202">
        <v>24.03</v>
      </c>
      <c r="AC15" s="202">
        <v>24.03</v>
      </c>
      <c r="AD15" s="202">
        <v>21.35</v>
      </c>
      <c r="AE15" s="202">
        <v>21.35</v>
      </c>
      <c r="AF15" s="202">
        <v>21.35</v>
      </c>
      <c r="AG15" s="202">
        <v>17.329999999999998</v>
      </c>
      <c r="AH15" s="202">
        <v>17.146999999999998</v>
      </c>
      <c r="AI15" s="337">
        <v>16.975000000000001</v>
      </c>
      <c r="AL15" s="364" t="s">
        <v>532</v>
      </c>
      <c r="AM15" s="202">
        <v>24.273</v>
      </c>
      <c r="AN15" s="202">
        <v>24.172000000000001</v>
      </c>
      <c r="AO15" s="202">
        <v>23.908000000000001</v>
      </c>
      <c r="AP15" s="202">
        <v>23.547999999999998</v>
      </c>
      <c r="AQ15" s="202">
        <v>23.908000000000001</v>
      </c>
      <c r="AR15" s="202">
        <v>24.172000000000001</v>
      </c>
      <c r="AS15" s="202">
        <v>24.273</v>
      </c>
      <c r="AT15" s="202">
        <v>24.263000000000002</v>
      </c>
      <c r="AU15" s="202">
        <v>24.245000000000001</v>
      </c>
      <c r="AV15" s="202">
        <v>24.213999999999999</v>
      </c>
      <c r="AW15" s="202">
        <v>24.138999999999999</v>
      </c>
      <c r="AX15" s="202">
        <v>23.744</v>
      </c>
      <c r="AY15" s="202">
        <v>22.184999999999999</v>
      </c>
      <c r="AZ15" s="202">
        <v>21.856000000000002</v>
      </c>
      <c r="BA15" s="202">
        <v>20.55</v>
      </c>
      <c r="BB15" s="202">
        <v>20.55</v>
      </c>
      <c r="BC15" s="202">
        <v>17.87</v>
      </c>
      <c r="BD15" s="202">
        <v>17.87</v>
      </c>
      <c r="BE15" s="202">
        <v>17.87</v>
      </c>
      <c r="BF15" s="202">
        <v>17.87</v>
      </c>
      <c r="BG15" s="202">
        <v>17.87</v>
      </c>
      <c r="BH15" s="337">
        <v>17.571000000000002</v>
      </c>
    </row>
    <row r="16" spans="2:60" ht="15.75" thickBot="1" x14ac:dyDescent="0.3">
      <c r="B16" s="713"/>
      <c r="C16" s="353" t="s">
        <v>526</v>
      </c>
      <c r="D16" s="357" t="s">
        <v>517</v>
      </c>
      <c r="E16" s="358">
        <f t="shared" si="2"/>
        <v>100</v>
      </c>
      <c r="F16" s="359" t="s">
        <v>475</v>
      </c>
      <c r="G16" s="390">
        <f>P111</f>
        <v>120.43</v>
      </c>
      <c r="H16" s="391" t="str">
        <f>IF(G16&gt;=$E16,"PASS","FAIL")</f>
        <v>PASS</v>
      </c>
      <c r="I16" s="338">
        <f t="shared" si="3"/>
        <v>227.48</v>
      </c>
      <c r="J16" s="384" t="str">
        <f>IF(I16&gt;=$E16,"PASS","FAIL")</f>
        <v>PASS</v>
      </c>
      <c r="M16" s="364" t="s">
        <v>533</v>
      </c>
      <c r="N16" s="202">
        <v>5.5289999999999999</v>
      </c>
      <c r="O16" s="202">
        <v>5.97</v>
      </c>
      <c r="P16" s="202">
        <v>6.6879999999999997</v>
      </c>
      <c r="Q16" s="202">
        <v>7.57</v>
      </c>
      <c r="R16" s="202">
        <v>6.6890000000000001</v>
      </c>
      <c r="S16" s="202">
        <v>5.9690000000000003</v>
      </c>
      <c r="T16" s="202">
        <v>5.5179999999999998</v>
      </c>
      <c r="U16" s="202">
        <v>5.3280000000000003</v>
      </c>
      <c r="V16" s="202">
        <v>5.4</v>
      </c>
      <c r="W16" s="202">
        <v>5.7960000000000003</v>
      </c>
      <c r="X16" s="202">
        <v>6.8109999999999999</v>
      </c>
      <c r="Y16" s="202">
        <v>7.5190000000000001</v>
      </c>
      <c r="Z16" s="202">
        <v>7.1959999999999997</v>
      </c>
      <c r="AA16" s="202">
        <v>7.0869999999999997</v>
      </c>
      <c r="AB16" s="202">
        <v>6.8550000000000004</v>
      </c>
      <c r="AC16" s="202">
        <v>5.88</v>
      </c>
      <c r="AD16" s="202">
        <v>5.4950000000000001</v>
      </c>
      <c r="AE16" s="202">
        <v>5.47</v>
      </c>
      <c r="AF16" s="202">
        <v>5.7960000000000003</v>
      </c>
      <c r="AG16" s="202">
        <v>6.4509999999999996</v>
      </c>
      <c r="AH16" s="202">
        <v>7.6849999999999996</v>
      </c>
      <c r="AI16" s="337">
        <v>7.5679999999999996</v>
      </c>
      <c r="AL16" s="364" t="s">
        <v>533</v>
      </c>
      <c r="AM16" s="202">
        <v>6.4</v>
      </c>
      <c r="AN16" s="202">
        <v>11.975</v>
      </c>
      <c r="AO16" s="202">
        <v>11.624000000000001</v>
      </c>
      <c r="AP16" s="202">
        <v>11.496</v>
      </c>
      <c r="AQ16" s="202">
        <v>11.624000000000001</v>
      </c>
      <c r="AR16" s="202">
        <v>11.975</v>
      </c>
      <c r="AS16" s="202">
        <v>6.4009999999999998</v>
      </c>
      <c r="AT16" s="202">
        <v>6.399</v>
      </c>
      <c r="AU16" s="202">
        <v>6.3360000000000003</v>
      </c>
      <c r="AV16" s="202">
        <v>6.4009999999999998</v>
      </c>
      <c r="AW16" s="202">
        <v>6.9829999999999997</v>
      </c>
      <c r="AX16" s="202">
        <v>10.548999999999999</v>
      </c>
      <c r="AY16" s="202">
        <v>10.712</v>
      </c>
      <c r="AZ16" s="202">
        <v>8.6549999999999994</v>
      </c>
      <c r="BA16" s="202">
        <v>7.1529999999999996</v>
      </c>
      <c r="BB16" s="202">
        <v>6.43</v>
      </c>
      <c r="BC16" s="202">
        <v>5.9450000000000003</v>
      </c>
      <c r="BD16" s="202">
        <v>5.9790000000000001</v>
      </c>
      <c r="BE16" s="202">
        <v>6.4169999999999998</v>
      </c>
      <c r="BF16" s="202">
        <v>7.51</v>
      </c>
      <c r="BG16" s="202">
        <v>10.423</v>
      </c>
      <c r="BH16" s="337">
        <v>12.247999999999999</v>
      </c>
    </row>
    <row r="17" spans="12:60" x14ac:dyDescent="0.25">
      <c r="M17" s="364" t="s">
        <v>534</v>
      </c>
      <c r="N17" s="202">
        <v>147.827</v>
      </c>
      <c r="O17" s="202">
        <v>154.44300000000001</v>
      </c>
      <c r="P17" s="202">
        <v>162.91</v>
      </c>
      <c r="Q17" s="202">
        <v>169.75299999999999</v>
      </c>
      <c r="R17" s="202">
        <v>161.76900000000001</v>
      </c>
      <c r="S17" s="202">
        <v>156.52500000000001</v>
      </c>
      <c r="T17" s="202">
        <v>150.91999999999999</v>
      </c>
      <c r="U17" s="202">
        <v>147.636</v>
      </c>
      <c r="V17" s="202">
        <v>144.61799999999999</v>
      </c>
      <c r="W17" s="202">
        <v>148.39699999999999</v>
      </c>
      <c r="X17" s="202">
        <v>154.97399999999999</v>
      </c>
      <c r="Y17" s="202">
        <v>165.33699999999999</v>
      </c>
      <c r="Z17" s="202">
        <v>169.66399999999999</v>
      </c>
      <c r="AA17" s="202">
        <v>163.274</v>
      </c>
      <c r="AB17" s="202">
        <v>153.32499999999999</v>
      </c>
      <c r="AC17" s="202">
        <v>135.339</v>
      </c>
      <c r="AD17" s="202">
        <v>131.791</v>
      </c>
      <c r="AE17" s="202">
        <v>133.29</v>
      </c>
      <c r="AF17" s="202">
        <v>139.047</v>
      </c>
      <c r="AG17" s="202">
        <v>162.374</v>
      </c>
      <c r="AH17" s="202">
        <v>173.096</v>
      </c>
      <c r="AI17" s="337">
        <v>166.9</v>
      </c>
      <c r="AL17" s="364" t="s">
        <v>534</v>
      </c>
      <c r="AM17" s="202">
        <v>216.29599999999999</v>
      </c>
      <c r="AN17" s="202">
        <v>250.00299999999999</v>
      </c>
      <c r="AO17" s="202">
        <v>266.738</v>
      </c>
      <c r="AP17" s="202">
        <v>270.31</v>
      </c>
      <c r="AQ17" s="202">
        <v>269.666</v>
      </c>
      <c r="AR17" s="202">
        <v>251.42099999999999</v>
      </c>
      <c r="AS17" s="202">
        <v>217.66900000000001</v>
      </c>
      <c r="AT17" s="202">
        <v>217.965</v>
      </c>
      <c r="AU17" s="202">
        <v>218.678</v>
      </c>
      <c r="AV17" s="202">
        <v>219.74100000000001</v>
      </c>
      <c r="AW17" s="202">
        <v>223.108</v>
      </c>
      <c r="AX17" s="202">
        <v>234.09399999999999</v>
      </c>
      <c r="AY17" s="202">
        <v>210.83199999999999</v>
      </c>
      <c r="AZ17" s="202">
        <v>175.571</v>
      </c>
      <c r="BA17" s="202">
        <v>160.857</v>
      </c>
      <c r="BB17" s="202">
        <v>149.822</v>
      </c>
      <c r="BC17" s="202">
        <v>156.928</v>
      </c>
      <c r="BD17" s="202">
        <v>155.78200000000001</v>
      </c>
      <c r="BE17" s="202">
        <v>159.33699999999999</v>
      </c>
      <c r="BF17" s="202">
        <v>170.55099999999999</v>
      </c>
      <c r="BG17" s="202">
        <v>204.477</v>
      </c>
      <c r="BH17" s="337">
        <v>220.005</v>
      </c>
    </row>
    <row r="18" spans="12:60" x14ac:dyDescent="0.25">
      <c r="M18" s="364" t="s">
        <v>535</v>
      </c>
      <c r="N18" s="202">
        <v>115.276</v>
      </c>
      <c r="O18" s="202">
        <v>125.488</v>
      </c>
      <c r="P18" s="202">
        <v>138.816</v>
      </c>
      <c r="Q18" s="202">
        <v>155.11099999999999</v>
      </c>
      <c r="R18" s="202">
        <v>138.768</v>
      </c>
      <c r="S18" s="202">
        <v>126.325</v>
      </c>
      <c r="T18" s="202">
        <v>116.883</v>
      </c>
      <c r="U18" s="202">
        <v>109.15</v>
      </c>
      <c r="V18" s="202">
        <v>104.72199999999999</v>
      </c>
      <c r="W18" s="202">
        <v>109.313</v>
      </c>
      <c r="X18" s="202">
        <v>117.48399999999999</v>
      </c>
      <c r="Y18" s="202">
        <v>129.119</v>
      </c>
      <c r="Z18" s="202">
        <v>129.98699999999999</v>
      </c>
      <c r="AA18" s="202">
        <v>122.71899999999999</v>
      </c>
      <c r="AB18" s="202">
        <v>112.68600000000001</v>
      </c>
      <c r="AC18" s="202">
        <v>93.581000000000003</v>
      </c>
      <c r="AD18" s="202">
        <v>86.12</v>
      </c>
      <c r="AE18" s="202">
        <v>84.942999999999998</v>
      </c>
      <c r="AF18" s="202">
        <v>89.26</v>
      </c>
      <c r="AG18" s="202">
        <v>105.66</v>
      </c>
      <c r="AH18" s="202">
        <v>117.85</v>
      </c>
      <c r="AI18" s="337">
        <v>110.947</v>
      </c>
      <c r="AL18" s="364" t="s">
        <v>535</v>
      </c>
      <c r="AM18" s="202">
        <v>54.658999999999999</v>
      </c>
      <c r="AN18" s="202">
        <v>70.147999999999996</v>
      </c>
      <c r="AO18" s="202">
        <v>72.244</v>
      </c>
      <c r="AP18" s="202">
        <v>72.611000000000004</v>
      </c>
      <c r="AQ18" s="202">
        <v>72.241</v>
      </c>
      <c r="AR18" s="202">
        <v>70.212999999999994</v>
      </c>
      <c r="AS18" s="202">
        <v>54.713999999999999</v>
      </c>
      <c r="AT18" s="202">
        <v>60.42</v>
      </c>
      <c r="AU18" s="202">
        <v>69.524000000000001</v>
      </c>
      <c r="AV18" s="202">
        <v>85.504000000000005</v>
      </c>
      <c r="AW18" s="202">
        <v>116.282</v>
      </c>
      <c r="AX18" s="202">
        <v>180.29300000000001</v>
      </c>
      <c r="AY18" s="202">
        <v>185.30500000000001</v>
      </c>
      <c r="AZ18" s="202">
        <v>140.732</v>
      </c>
      <c r="BA18" s="202">
        <v>118.264</v>
      </c>
      <c r="BB18" s="202">
        <v>104.10899999999999</v>
      </c>
      <c r="BC18" s="202">
        <v>100.40900000000001</v>
      </c>
      <c r="BD18" s="202">
        <v>99.117999999999995</v>
      </c>
      <c r="BE18" s="202">
        <v>104.369</v>
      </c>
      <c r="BF18" s="202">
        <v>119.483</v>
      </c>
      <c r="BG18" s="202">
        <v>160.66999999999999</v>
      </c>
      <c r="BH18" s="337">
        <v>176.91200000000001</v>
      </c>
    </row>
    <row r="19" spans="12:60" x14ac:dyDescent="0.25">
      <c r="M19" s="364" t="s">
        <v>120</v>
      </c>
      <c r="N19" s="202">
        <v>0.70399999999999996</v>
      </c>
      <c r="O19" s="202">
        <v>0.70699999999999996</v>
      </c>
      <c r="P19" s="202">
        <v>0.71099999999999997</v>
      </c>
      <c r="Q19" s="202">
        <v>0.70399999999999996</v>
      </c>
      <c r="R19" s="202">
        <v>0.71</v>
      </c>
      <c r="S19" s="202">
        <v>0.70799999999999996</v>
      </c>
      <c r="T19" s="202">
        <v>0.70799999999999996</v>
      </c>
      <c r="U19" s="202">
        <v>0.72699999999999998</v>
      </c>
      <c r="V19" s="202">
        <v>0.72299999999999998</v>
      </c>
      <c r="W19" s="202">
        <v>0.71</v>
      </c>
      <c r="X19" s="202">
        <v>0.68</v>
      </c>
      <c r="Y19" s="202">
        <v>0.63200000000000001</v>
      </c>
      <c r="Z19" s="202">
        <v>0.59399999999999997</v>
      </c>
      <c r="AA19" s="202">
        <v>0.58299999999999996</v>
      </c>
      <c r="AB19" s="202">
        <v>0.58499999999999996</v>
      </c>
      <c r="AC19" s="202">
        <v>0.59</v>
      </c>
      <c r="AD19" s="202">
        <v>0.66900000000000004</v>
      </c>
      <c r="AE19" s="202">
        <v>0.67500000000000004</v>
      </c>
      <c r="AF19" s="202">
        <v>0.68400000000000005</v>
      </c>
      <c r="AG19" s="202">
        <v>0.91600000000000004</v>
      </c>
      <c r="AH19" s="202">
        <v>0.90200000000000002</v>
      </c>
      <c r="AI19" s="337">
        <v>0.872</v>
      </c>
      <c r="AL19" s="364" t="s">
        <v>120</v>
      </c>
      <c r="AM19" s="202">
        <v>0.65800000000000003</v>
      </c>
      <c r="AN19" s="202">
        <v>0.64100000000000001</v>
      </c>
      <c r="AO19" s="202">
        <v>0.63500000000000001</v>
      </c>
      <c r="AP19" s="202">
        <v>0.64200000000000002</v>
      </c>
      <c r="AQ19" s="202">
        <v>0.63600000000000001</v>
      </c>
      <c r="AR19" s="202">
        <v>0.64</v>
      </c>
      <c r="AS19" s="202">
        <v>0.65800000000000003</v>
      </c>
      <c r="AT19" s="202">
        <v>0.65700000000000003</v>
      </c>
      <c r="AU19" s="202">
        <v>0.65600000000000003</v>
      </c>
      <c r="AV19" s="202">
        <v>0.65100000000000002</v>
      </c>
      <c r="AW19" s="202">
        <v>0.64200000000000002</v>
      </c>
      <c r="AX19" s="202">
        <v>0.622</v>
      </c>
      <c r="AY19" s="202">
        <v>0.64500000000000002</v>
      </c>
      <c r="AZ19" s="202">
        <v>0.66200000000000003</v>
      </c>
      <c r="BA19" s="202">
        <v>0.73099999999999998</v>
      </c>
      <c r="BB19" s="202">
        <v>0.74</v>
      </c>
      <c r="BC19" s="202">
        <v>0.91</v>
      </c>
      <c r="BD19" s="202">
        <v>0.9</v>
      </c>
      <c r="BE19" s="202">
        <v>0.88800000000000001</v>
      </c>
      <c r="BF19" s="202">
        <v>0.874</v>
      </c>
      <c r="BG19" s="202">
        <v>0.85199999999999998</v>
      </c>
      <c r="BH19" s="337">
        <v>0.82299999999999995</v>
      </c>
    </row>
    <row r="20" spans="12:60" x14ac:dyDescent="0.25">
      <c r="M20" s="364" t="s">
        <v>121</v>
      </c>
      <c r="N20" s="202">
        <v>0.433</v>
      </c>
      <c r="O20" s="202">
        <v>0.51300000000000001</v>
      </c>
      <c r="P20" s="202">
        <v>0.52400000000000002</v>
      </c>
      <c r="Q20" s="202">
        <v>0.49299999999999999</v>
      </c>
      <c r="R20" s="202">
        <v>0.52400000000000002</v>
      </c>
      <c r="S20" s="202">
        <v>0.51300000000000001</v>
      </c>
      <c r="T20" s="202">
        <v>0.436</v>
      </c>
      <c r="U20" s="202">
        <v>0.40899999999999997</v>
      </c>
      <c r="V20" s="202">
        <v>0.38600000000000001</v>
      </c>
      <c r="W20" s="202">
        <v>0.36699999999999999</v>
      </c>
      <c r="X20" s="202">
        <v>0.34399999999999997</v>
      </c>
      <c r="Y20" s="202">
        <v>0.38900000000000001</v>
      </c>
      <c r="Z20" s="202">
        <v>0.57699999999999996</v>
      </c>
      <c r="AA20" s="202">
        <v>0.371</v>
      </c>
      <c r="AB20" s="202">
        <v>0.29299999999999998</v>
      </c>
      <c r="AC20" s="202">
        <v>0.29499999999999998</v>
      </c>
      <c r="AD20" s="202">
        <v>0.33500000000000002</v>
      </c>
      <c r="AE20" s="202">
        <v>0.33800000000000002</v>
      </c>
      <c r="AF20" s="202">
        <v>0.34200000000000003</v>
      </c>
      <c r="AG20" s="202">
        <v>0.45800000000000002</v>
      </c>
      <c r="AH20" s="202">
        <v>0.52</v>
      </c>
      <c r="AI20" s="337">
        <v>0.872</v>
      </c>
      <c r="AL20" s="364" t="s">
        <v>121</v>
      </c>
      <c r="AM20" s="202">
        <v>0.432</v>
      </c>
      <c r="AN20" s="202">
        <v>0.312</v>
      </c>
      <c r="AO20" s="202">
        <v>0.34799999999999998</v>
      </c>
      <c r="AP20" s="202">
        <v>0.42799999999999999</v>
      </c>
      <c r="AQ20" s="202">
        <v>0.34799999999999998</v>
      </c>
      <c r="AR20" s="202">
        <v>0.312</v>
      </c>
      <c r="AS20" s="202">
        <v>0.43099999999999999</v>
      </c>
      <c r="AT20" s="202">
        <v>0.45300000000000001</v>
      </c>
      <c r="AU20" s="202">
        <v>0.46200000000000002</v>
      </c>
      <c r="AV20" s="202">
        <v>0.46700000000000003</v>
      </c>
      <c r="AW20" s="202">
        <v>0.46899999999999997</v>
      </c>
      <c r="AX20" s="202">
        <v>0.48299999999999998</v>
      </c>
      <c r="AY20" s="202">
        <v>0.51600000000000001</v>
      </c>
      <c r="AZ20" s="202">
        <v>0.38100000000000001</v>
      </c>
      <c r="BA20" s="202">
        <v>0.38700000000000001</v>
      </c>
      <c r="BB20" s="202">
        <v>0.377</v>
      </c>
      <c r="BC20" s="202">
        <v>0.45500000000000002</v>
      </c>
      <c r="BD20" s="202">
        <v>0.45</v>
      </c>
      <c r="BE20" s="202">
        <v>0.44400000000000001</v>
      </c>
      <c r="BF20" s="202">
        <v>0.437</v>
      </c>
      <c r="BG20" s="202">
        <v>0.42599999999999999</v>
      </c>
      <c r="BH20" s="337">
        <v>0.82299999999999995</v>
      </c>
    </row>
    <row r="21" spans="12:60" x14ac:dyDescent="0.25">
      <c r="M21" s="364" t="s">
        <v>536</v>
      </c>
      <c r="N21" s="202">
        <v>11.353</v>
      </c>
      <c r="O21" s="202">
        <v>11.629</v>
      </c>
      <c r="P21" s="202">
        <v>11.826000000000001</v>
      </c>
      <c r="Q21" s="202">
        <v>11.888</v>
      </c>
      <c r="R21" s="202">
        <v>11.829000000000001</v>
      </c>
      <c r="S21" s="202">
        <v>11.621</v>
      </c>
      <c r="T21" s="202">
        <v>11.278</v>
      </c>
      <c r="U21" s="202">
        <v>11.029</v>
      </c>
      <c r="V21" s="202">
        <v>10.88</v>
      </c>
      <c r="W21" s="202">
        <v>10.789</v>
      </c>
      <c r="X21" s="202">
        <v>10.731</v>
      </c>
      <c r="Y21" s="202">
        <v>10.851000000000001</v>
      </c>
      <c r="Z21" s="202">
        <v>11.381</v>
      </c>
      <c r="AA21" s="202">
        <v>12.098000000000001</v>
      </c>
      <c r="AB21" s="202">
        <v>12.863</v>
      </c>
      <c r="AC21" s="202">
        <v>13.433</v>
      </c>
      <c r="AD21" s="202">
        <v>13.794</v>
      </c>
      <c r="AE21" s="202">
        <v>14.048999999999999</v>
      </c>
      <c r="AF21" s="202">
        <v>14.234999999999999</v>
      </c>
      <c r="AG21" s="202">
        <v>13.851000000000001</v>
      </c>
      <c r="AH21" s="202">
        <v>14.276</v>
      </c>
      <c r="AI21" s="337">
        <v>14.625</v>
      </c>
      <c r="AL21" s="364" t="s">
        <v>536</v>
      </c>
      <c r="AM21" s="202">
        <v>9.9079999999999995</v>
      </c>
      <c r="AN21" s="202">
        <v>9.8580000000000005</v>
      </c>
      <c r="AO21" s="202">
        <v>9.74</v>
      </c>
      <c r="AP21" s="202">
        <v>9.6989999999999998</v>
      </c>
      <c r="AQ21" s="202">
        <v>9.7390000000000008</v>
      </c>
      <c r="AR21" s="202">
        <v>9.8629999999999995</v>
      </c>
      <c r="AS21" s="202">
        <v>9.9130000000000003</v>
      </c>
      <c r="AT21" s="202">
        <v>9.9</v>
      </c>
      <c r="AU21" s="202">
        <v>9.8930000000000007</v>
      </c>
      <c r="AV21" s="202">
        <v>9.9030000000000005</v>
      </c>
      <c r="AW21" s="202">
        <v>9.9269999999999996</v>
      </c>
      <c r="AX21" s="202">
        <v>9.9060000000000006</v>
      </c>
      <c r="AY21" s="202">
        <v>10.074999999999999</v>
      </c>
      <c r="AZ21" s="202">
        <v>10.577</v>
      </c>
      <c r="BA21" s="202">
        <v>11.179</v>
      </c>
      <c r="BB21" s="202">
        <v>11.353</v>
      </c>
      <c r="BC21" s="202">
        <v>10.904</v>
      </c>
      <c r="BD21" s="202">
        <v>11.106999999999999</v>
      </c>
      <c r="BE21" s="202">
        <v>11.265000000000001</v>
      </c>
      <c r="BF21" s="202">
        <v>11.398999999999999</v>
      </c>
      <c r="BG21" s="202">
        <v>11.525</v>
      </c>
      <c r="BH21" s="337">
        <v>11.593999999999999</v>
      </c>
    </row>
    <row r="22" spans="12:60" x14ac:dyDescent="0.25">
      <c r="L22" s="379"/>
      <c r="M22" s="364" t="s">
        <v>537</v>
      </c>
      <c r="N22" s="202">
        <v>12.334</v>
      </c>
      <c r="O22" s="202">
        <v>12.281000000000001</v>
      </c>
      <c r="P22" s="202">
        <v>12.135999999999999</v>
      </c>
      <c r="Q22" s="202">
        <v>11.894</v>
      </c>
      <c r="R22" s="202">
        <v>12.141</v>
      </c>
      <c r="S22" s="202">
        <v>12.202999999999999</v>
      </c>
      <c r="T22" s="202">
        <v>12.144</v>
      </c>
      <c r="U22" s="202">
        <v>12.252000000000001</v>
      </c>
      <c r="V22" s="202">
        <v>12.077999999999999</v>
      </c>
      <c r="W22" s="202">
        <v>12.178000000000001</v>
      </c>
      <c r="X22" s="202">
        <v>12.217000000000001</v>
      </c>
      <c r="Y22" s="202">
        <v>12.496</v>
      </c>
      <c r="Z22" s="202">
        <v>13.029</v>
      </c>
      <c r="AA22" s="202">
        <v>12.786</v>
      </c>
      <c r="AB22" s="202">
        <v>12.627000000000001</v>
      </c>
      <c r="AC22" s="202">
        <v>13.377000000000001</v>
      </c>
      <c r="AD22" s="202">
        <v>13.784000000000001</v>
      </c>
      <c r="AE22" s="202">
        <v>14.068</v>
      </c>
      <c r="AF22" s="202">
        <v>14.317</v>
      </c>
      <c r="AG22" s="202">
        <v>13.99</v>
      </c>
      <c r="AH22" s="202">
        <v>14.209</v>
      </c>
      <c r="AI22" s="337">
        <v>14.548999999999999</v>
      </c>
      <c r="AK22" s="379"/>
      <c r="AL22" s="364" t="s">
        <v>537</v>
      </c>
      <c r="AM22" s="202">
        <v>10.212</v>
      </c>
      <c r="AN22" s="202">
        <v>9.9329999999999998</v>
      </c>
      <c r="AO22" s="202">
        <v>9.9570000000000007</v>
      </c>
      <c r="AP22" s="202">
        <v>9.9390000000000001</v>
      </c>
      <c r="AQ22" s="202">
        <v>9.9570000000000007</v>
      </c>
      <c r="AR22" s="202">
        <v>9.9309999999999992</v>
      </c>
      <c r="AS22" s="202">
        <v>10.210000000000001</v>
      </c>
      <c r="AT22" s="202">
        <v>10.308999999999999</v>
      </c>
      <c r="AU22" s="202">
        <v>10.5</v>
      </c>
      <c r="AV22" s="202">
        <v>10.651999999999999</v>
      </c>
      <c r="AW22" s="202">
        <v>10.81</v>
      </c>
      <c r="AX22" s="202">
        <v>11.124000000000001</v>
      </c>
      <c r="AY22" s="202">
        <v>11.109</v>
      </c>
      <c r="AZ22" s="202">
        <v>10.861000000000001</v>
      </c>
      <c r="BA22" s="202">
        <v>11.457000000000001</v>
      </c>
      <c r="BB22" s="202">
        <v>11.606999999999999</v>
      </c>
      <c r="BC22" s="202">
        <v>11.134</v>
      </c>
      <c r="BD22" s="202">
        <v>11.284000000000001</v>
      </c>
      <c r="BE22" s="202">
        <v>11.398</v>
      </c>
      <c r="BF22" s="202">
        <v>11.494</v>
      </c>
      <c r="BG22" s="202">
        <v>11.577999999999999</v>
      </c>
      <c r="BH22" s="337">
        <v>11.584</v>
      </c>
    </row>
    <row r="23" spans="12:60" x14ac:dyDescent="0.25">
      <c r="M23" s="364" t="s">
        <v>538</v>
      </c>
      <c r="N23" s="202">
        <v>30</v>
      </c>
      <c r="O23" s="202">
        <v>20</v>
      </c>
      <c r="P23" s="202">
        <v>10</v>
      </c>
      <c r="Q23" s="202">
        <v>0</v>
      </c>
      <c r="R23" s="202">
        <v>10</v>
      </c>
      <c r="S23" s="202">
        <v>20</v>
      </c>
      <c r="T23" s="202">
        <v>30</v>
      </c>
      <c r="U23" s="202">
        <v>40</v>
      </c>
      <c r="V23" s="202">
        <v>50</v>
      </c>
      <c r="W23" s="202">
        <v>60</v>
      </c>
      <c r="X23" s="202">
        <v>70</v>
      </c>
      <c r="Y23" s="202">
        <v>80</v>
      </c>
      <c r="Z23" s="202">
        <v>90</v>
      </c>
      <c r="AA23" s="202">
        <v>100</v>
      </c>
      <c r="AB23" s="202">
        <v>110</v>
      </c>
      <c r="AC23" s="202">
        <v>120</v>
      </c>
      <c r="AD23" s="202">
        <v>130</v>
      </c>
      <c r="AE23" s="202">
        <v>140</v>
      </c>
      <c r="AF23" s="202">
        <v>150</v>
      </c>
      <c r="AG23" s="202">
        <v>160</v>
      </c>
      <c r="AH23" s="202">
        <v>170</v>
      </c>
      <c r="AI23" s="337">
        <v>180</v>
      </c>
      <c r="AL23" s="364" t="s">
        <v>538</v>
      </c>
      <c r="AM23" s="202">
        <v>30</v>
      </c>
      <c r="AN23" s="202">
        <v>20</v>
      </c>
      <c r="AO23" s="202">
        <v>10</v>
      </c>
      <c r="AP23" s="202">
        <v>0</v>
      </c>
      <c r="AQ23" s="202">
        <v>10</v>
      </c>
      <c r="AR23" s="202">
        <v>20</v>
      </c>
      <c r="AS23" s="202">
        <v>30</v>
      </c>
      <c r="AT23" s="202">
        <v>40</v>
      </c>
      <c r="AU23" s="202">
        <v>50</v>
      </c>
      <c r="AV23" s="202">
        <v>60</v>
      </c>
      <c r="AW23" s="202">
        <v>70</v>
      </c>
      <c r="AX23" s="202">
        <v>80</v>
      </c>
      <c r="AY23" s="202">
        <v>90</v>
      </c>
      <c r="AZ23" s="202">
        <v>100</v>
      </c>
      <c r="BA23" s="202">
        <v>110</v>
      </c>
      <c r="BB23" s="202">
        <v>120</v>
      </c>
      <c r="BC23" s="202">
        <v>130</v>
      </c>
      <c r="BD23" s="202">
        <v>140</v>
      </c>
      <c r="BE23" s="202">
        <v>150</v>
      </c>
      <c r="BF23" s="202">
        <v>160</v>
      </c>
      <c r="BG23" s="202">
        <v>170</v>
      </c>
      <c r="BH23" s="337">
        <v>180</v>
      </c>
    </row>
    <row r="24" spans="12:60" ht="15.75" thickBot="1" x14ac:dyDescent="0.3">
      <c r="M24" s="365" t="s">
        <v>539</v>
      </c>
      <c r="N24" s="332">
        <v>0</v>
      </c>
      <c r="O24" s="332">
        <v>0</v>
      </c>
      <c r="P24" s="332">
        <v>0</v>
      </c>
      <c r="Q24" s="332">
        <v>0</v>
      </c>
      <c r="R24" s="332">
        <v>0</v>
      </c>
      <c r="S24" s="332">
        <v>0</v>
      </c>
      <c r="T24" s="332">
        <v>0</v>
      </c>
      <c r="U24" s="332">
        <v>0</v>
      </c>
      <c r="V24" s="332">
        <v>0</v>
      </c>
      <c r="W24" s="332">
        <v>0</v>
      </c>
      <c r="X24" s="332">
        <v>0</v>
      </c>
      <c r="Y24" s="332">
        <v>0</v>
      </c>
      <c r="Z24" s="332">
        <v>0</v>
      </c>
      <c r="AA24" s="332">
        <v>0</v>
      </c>
      <c r="AB24" s="332">
        <v>0</v>
      </c>
      <c r="AC24" s="332">
        <v>0</v>
      </c>
      <c r="AD24" s="332">
        <v>0</v>
      </c>
      <c r="AE24" s="332">
        <v>0</v>
      </c>
      <c r="AF24" s="332">
        <v>0</v>
      </c>
      <c r="AG24" s="332">
        <v>0</v>
      </c>
      <c r="AH24" s="332">
        <v>0</v>
      </c>
      <c r="AI24" s="360">
        <v>0</v>
      </c>
      <c r="AL24" s="365" t="s">
        <v>539</v>
      </c>
      <c r="AM24" s="332">
        <v>0</v>
      </c>
      <c r="AN24" s="332">
        <v>0</v>
      </c>
      <c r="AO24" s="332">
        <v>0</v>
      </c>
      <c r="AP24" s="332">
        <v>0</v>
      </c>
      <c r="AQ24" s="332">
        <v>0</v>
      </c>
      <c r="AR24" s="332">
        <v>0</v>
      </c>
      <c r="AS24" s="332">
        <v>0</v>
      </c>
      <c r="AT24" s="332">
        <v>0</v>
      </c>
      <c r="AU24" s="332">
        <v>0</v>
      </c>
      <c r="AV24" s="332">
        <v>0</v>
      </c>
      <c r="AW24" s="332">
        <v>0</v>
      </c>
      <c r="AX24" s="332">
        <v>0</v>
      </c>
      <c r="AY24" s="332" t="s">
        <v>596</v>
      </c>
      <c r="AZ24" s="332">
        <v>0</v>
      </c>
      <c r="BA24" s="332">
        <v>0</v>
      </c>
      <c r="BB24" s="332">
        <v>0</v>
      </c>
      <c r="BC24" s="332">
        <v>0</v>
      </c>
      <c r="BD24" s="332">
        <v>0</v>
      </c>
      <c r="BE24" s="332">
        <v>0</v>
      </c>
      <c r="BF24" s="332">
        <v>0</v>
      </c>
      <c r="BG24" s="332">
        <v>0</v>
      </c>
      <c r="BH24" s="360">
        <v>0</v>
      </c>
    </row>
    <row r="25" spans="12:60" ht="15.75" thickBot="1" x14ac:dyDescent="0.3"/>
    <row r="26" spans="12:60" x14ac:dyDescent="0.25">
      <c r="L26" s="710" t="s">
        <v>440</v>
      </c>
      <c r="M26" s="367" t="s">
        <v>441</v>
      </c>
      <c r="N26" s="368"/>
      <c r="O26" s="368"/>
      <c r="P26" s="368"/>
      <c r="Q26" s="368" t="s">
        <v>442</v>
      </c>
      <c r="R26" s="369"/>
      <c r="AK26" s="710" t="s">
        <v>440</v>
      </c>
      <c r="AL26" s="367" t="s">
        <v>441</v>
      </c>
      <c r="AM26" s="368"/>
      <c r="AN26" s="368"/>
      <c r="AO26" s="368"/>
      <c r="AP26" s="368" t="s">
        <v>442</v>
      </c>
      <c r="AQ26" s="369"/>
    </row>
    <row r="27" spans="12:60" x14ac:dyDescent="0.25">
      <c r="L27" s="698"/>
      <c r="M27" s="366" t="s">
        <v>443</v>
      </c>
      <c r="N27" s="198"/>
      <c r="O27" s="198"/>
      <c r="P27" s="198"/>
      <c r="Q27" s="198"/>
      <c r="R27" s="200"/>
      <c r="AK27" s="698"/>
      <c r="AL27" s="366" t="s">
        <v>443</v>
      </c>
      <c r="AM27" s="198"/>
      <c r="AN27" s="198"/>
      <c r="AO27" s="198"/>
      <c r="AP27" s="198"/>
      <c r="AQ27" s="200"/>
    </row>
    <row r="28" spans="12:60" x14ac:dyDescent="0.25">
      <c r="L28" s="698"/>
      <c r="M28" s="366" t="s">
        <v>444</v>
      </c>
      <c r="N28" s="198">
        <v>0</v>
      </c>
      <c r="O28" s="198" t="s">
        <v>445</v>
      </c>
      <c r="P28" s="198">
        <v>0</v>
      </c>
      <c r="Q28" s="198"/>
      <c r="R28" s="200"/>
      <c r="AK28" s="698"/>
      <c r="AL28" s="366" t="s">
        <v>444</v>
      </c>
      <c r="AM28" s="198">
        <v>0</v>
      </c>
      <c r="AN28" s="198" t="s">
        <v>445</v>
      </c>
      <c r="AO28" s="198">
        <v>0</v>
      </c>
      <c r="AP28" s="198"/>
      <c r="AQ28" s="200"/>
    </row>
    <row r="29" spans="12:60" x14ac:dyDescent="0.25">
      <c r="L29" s="698"/>
      <c r="M29" s="366" t="s">
        <v>446</v>
      </c>
      <c r="N29" s="198"/>
      <c r="O29" s="198"/>
      <c r="P29" s="198"/>
      <c r="Q29" s="198"/>
      <c r="R29" s="200"/>
      <c r="AK29" s="698"/>
      <c r="AL29" s="366" t="s">
        <v>446</v>
      </c>
      <c r="AM29" s="198"/>
      <c r="AN29" s="198"/>
      <c r="AO29" s="198"/>
      <c r="AP29" s="198"/>
      <c r="AQ29" s="200"/>
    </row>
    <row r="30" spans="12:60" x14ac:dyDescent="0.25">
      <c r="L30" s="698"/>
      <c r="M30" s="366" t="s">
        <v>444</v>
      </c>
      <c r="N30" s="198">
        <v>30</v>
      </c>
      <c r="O30" s="198" t="s">
        <v>445</v>
      </c>
      <c r="P30" s="198">
        <v>30</v>
      </c>
      <c r="Q30" s="198"/>
      <c r="R30" s="200"/>
      <c r="AK30" s="698"/>
      <c r="AL30" s="366" t="s">
        <v>444</v>
      </c>
      <c r="AM30" s="198">
        <v>30</v>
      </c>
      <c r="AN30" s="198" t="s">
        <v>445</v>
      </c>
      <c r="AO30" s="198">
        <v>30</v>
      </c>
      <c r="AP30" s="198"/>
      <c r="AQ30" s="200"/>
    </row>
    <row r="31" spans="12:60" x14ac:dyDescent="0.25">
      <c r="L31" s="698"/>
      <c r="M31" s="366" t="s">
        <v>447</v>
      </c>
      <c r="N31" s="198">
        <v>180</v>
      </c>
      <c r="O31" s="198" t="s">
        <v>445</v>
      </c>
      <c r="P31" s="198"/>
      <c r="Q31" s="198"/>
      <c r="R31" s="200"/>
      <c r="AK31" s="698"/>
      <c r="AL31" s="366" t="s">
        <v>447</v>
      </c>
      <c r="AM31" s="198">
        <v>154.69999999999999</v>
      </c>
      <c r="AN31" s="198" t="s">
        <v>445</v>
      </c>
      <c r="AO31" s="198"/>
      <c r="AP31" s="198"/>
      <c r="AQ31" s="200"/>
    </row>
    <row r="32" spans="12:60" x14ac:dyDescent="0.25">
      <c r="L32" s="698"/>
      <c r="M32" s="366" t="s">
        <v>448</v>
      </c>
      <c r="N32" s="373">
        <v>3.1513</v>
      </c>
      <c r="O32" s="373" t="s">
        <v>449</v>
      </c>
      <c r="P32" s="373">
        <v>26.694600000000001</v>
      </c>
      <c r="Q32" s="373" t="s">
        <v>442</v>
      </c>
      <c r="R32" s="200">
        <v>747.1</v>
      </c>
      <c r="AK32" s="698"/>
      <c r="AL32" s="366" t="s">
        <v>448</v>
      </c>
      <c r="AM32" s="373">
        <v>3.1513</v>
      </c>
      <c r="AN32" s="373" t="s">
        <v>449</v>
      </c>
      <c r="AO32" s="373">
        <v>84.239099999999993</v>
      </c>
      <c r="AP32" s="373" t="s">
        <v>442</v>
      </c>
      <c r="AQ32" s="200">
        <v>2573.15</v>
      </c>
    </row>
    <row r="33" spans="12:43" x14ac:dyDescent="0.25">
      <c r="L33" s="381"/>
      <c r="M33" s="376"/>
      <c r="N33" s="377"/>
      <c r="O33" s="377"/>
      <c r="P33" s="377"/>
      <c r="Q33" s="377"/>
      <c r="R33" s="382"/>
      <c r="AK33" s="381"/>
      <c r="AL33" s="376"/>
      <c r="AM33" s="377"/>
      <c r="AN33" s="377"/>
      <c r="AO33" s="377"/>
      <c r="AP33" s="377"/>
      <c r="AQ33" s="382"/>
    </row>
    <row r="34" spans="12:43" x14ac:dyDescent="0.25">
      <c r="L34" s="697" t="s">
        <v>440</v>
      </c>
      <c r="M34" s="374" t="s">
        <v>450</v>
      </c>
      <c r="N34" s="375"/>
      <c r="O34" s="375"/>
      <c r="P34" s="375"/>
      <c r="Q34" s="375" t="s">
        <v>442</v>
      </c>
      <c r="R34" s="383"/>
      <c r="AK34" s="697" t="s">
        <v>440</v>
      </c>
      <c r="AL34" s="374" t="s">
        <v>450</v>
      </c>
      <c r="AM34" s="375"/>
      <c r="AN34" s="375"/>
      <c r="AO34" s="375"/>
      <c r="AP34" s="375" t="s">
        <v>442</v>
      </c>
      <c r="AQ34" s="383"/>
    </row>
    <row r="35" spans="12:43" x14ac:dyDescent="0.25">
      <c r="L35" s="698"/>
      <c r="M35" s="366" t="s">
        <v>443</v>
      </c>
      <c r="N35" s="198"/>
      <c r="O35" s="198"/>
      <c r="P35" s="198"/>
      <c r="Q35" s="198"/>
      <c r="R35" s="200"/>
      <c r="AK35" s="698"/>
      <c r="AL35" s="366" t="s">
        <v>443</v>
      </c>
      <c r="AM35" s="198"/>
      <c r="AN35" s="198"/>
      <c r="AO35" s="198"/>
      <c r="AP35" s="198"/>
      <c r="AQ35" s="200"/>
    </row>
    <row r="36" spans="12:43" x14ac:dyDescent="0.25">
      <c r="L36" s="698"/>
      <c r="M36" s="366" t="s">
        <v>444</v>
      </c>
      <c r="N36" s="198">
        <v>0</v>
      </c>
      <c r="O36" s="198" t="s">
        <v>445</v>
      </c>
      <c r="P36" s="198">
        <v>0</v>
      </c>
      <c r="Q36" s="198"/>
      <c r="R36" s="200"/>
      <c r="AK36" s="698"/>
      <c r="AL36" s="366" t="s">
        <v>444</v>
      </c>
      <c r="AM36" s="198">
        <v>0</v>
      </c>
      <c r="AN36" s="198" t="s">
        <v>445</v>
      </c>
      <c r="AO36" s="198">
        <v>0</v>
      </c>
      <c r="AP36" s="198"/>
      <c r="AQ36" s="200"/>
    </row>
    <row r="37" spans="12:43" x14ac:dyDescent="0.25">
      <c r="L37" s="698"/>
      <c r="M37" s="366" t="s">
        <v>446</v>
      </c>
      <c r="N37" s="198"/>
      <c r="O37" s="198"/>
      <c r="P37" s="198"/>
      <c r="Q37" s="198"/>
      <c r="R37" s="200"/>
      <c r="AK37" s="698"/>
      <c r="AL37" s="366" t="s">
        <v>446</v>
      </c>
      <c r="AM37" s="198"/>
      <c r="AN37" s="198"/>
      <c r="AO37" s="198"/>
      <c r="AP37" s="198"/>
      <c r="AQ37" s="200"/>
    </row>
    <row r="38" spans="12:43" x14ac:dyDescent="0.25">
      <c r="L38" s="698"/>
      <c r="M38" s="366" t="s">
        <v>444</v>
      </c>
      <c r="N38" s="198">
        <v>40</v>
      </c>
      <c r="O38" s="198" t="s">
        <v>445</v>
      </c>
      <c r="P38" s="198">
        <v>40</v>
      </c>
      <c r="Q38" s="198"/>
      <c r="R38" s="200"/>
      <c r="AK38" s="698"/>
      <c r="AL38" s="366" t="s">
        <v>444</v>
      </c>
      <c r="AM38" s="198">
        <v>40</v>
      </c>
      <c r="AN38" s="198" t="s">
        <v>445</v>
      </c>
      <c r="AO38" s="198">
        <v>40</v>
      </c>
      <c r="AP38" s="198"/>
      <c r="AQ38" s="200"/>
    </row>
    <row r="39" spans="12:43" x14ac:dyDescent="0.25">
      <c r="L39" s="698"/>
      <c r="M39" s="366" t="s">
        <v>451</v>
      </c>
      <c r="N39" s="198" t="s">
        <v>452</v>
      </c>
      <c r="O39" s="198" t="s">
        <v>445</v>
      </c>
      <c r="P39" s="198"/>
      <c r="Q39" s="198"/>
      <c r="R39" s="200"/>
      <c r="AK39" s="698"/>
      <c r="AL39" s="366" t="s">
        <v>451</v>
      </c>
      <c r="AM39" s="198" t="s">
        <v>452</v>
      </c>
      <c r="AN39" s="198" t="s">
        <v>445</v>
      </c>
      <c r="AO39" s="198"/>
      <c r="AP39" s="198"/>
      <c r="AQ39" s="200"/>
    </row>
    <row r="40" spans="12:43" x14ac:dyDescent="0.25">
      <c r="L40" s="698"/>
      <c r="M40" s="366" t="s">
        <v>447</v>
      </c>
      <c r="N40" s="198">
        <v>180</v>
      </c>
      <c r="O40" s="198" t="s">
        <v>445</v>
      </c>
      <c r="P40" s="198"/>
      <c r="Q40" s="198"/>
      <c r="R40" s="200"/>
      <c r="AK40" s="698"/>
      <c r="AL40" s="366" t="s">
        <v>447</v>
      </c>
      <c r="AM40" s="198">
        <v>154.69999999999999</v>
      </c>
      <c r="AN40" s="198" t="s">
        <v>445</v>
      </c>
      <c r="AO40" s="198"/>
      <c r="AP40" s="198"/>
      <c r="AQ40" s="200"/>
    </row>
    <row r="41" spans="12:43" x14ac:dyDescent="0.25">
      <c r="L41" s="698"/>
      <c r="M41" s="366" t="s">
        <v>448</v>
      </c>
      <c r="N41" s="373">
        <v>5.1566000000000001</v>
      </c>
      <c r="O41" s="373" t="s">
        <v>449</v>
      </c>
      <c r="P41" s="373">
        <v>41.879899999999999</v>
      </c>
      <c r="Q41" s="373" t="s">
        <v>442</v>
      </c>
      <c r="R41" s="200">
        <v>712.16</v>
      </c>
      <c r="AK41" s="698"/>
      <c r="AL41" s="366" t="s">
        <v>448</v>
      </c>
      <c r="AM41" s="373">
        <v>5.1566000000000001</v>
      </c>
      <c r="AN41" s="373" t="s">
        <v>449</v>
      </c>
      <c r="AO41" s="373">
        <v>131.20060000000001</v>
      </c>
      <c r="AP41" s="373" t="s">
        <v>442</v>
      </c>
      <c r="AQ41" s="200">
        <v>2444.3200000000002</v>
      </c>
    </row>
    <row r="42" spans="12:43" x14ac:dyDescent="0.25">
      <c r="L42" s="381"/>
      <c r="M42" s="376"/>
      <c r="N42" s="377"/>
      <c r="O42" s="377"/>
      <c r="P42" s="377"/>
      <c r="Q42" s="377"/>
      <c r="R42" s="382"/>
      <c r="AK42" s="381"/>
      <c r="AL42" s="376"/>
      <c r="AM42" s="377"/>
      <c r="AN42" s="377"/>
      <c r="AO42" s="377"/>
      <c r="AP42" s="377"/>
      <c r="AQ42" s="382"/>
    </row>
    <row r="43" spans="12:43" x14ac:dyDescent="0.25">
      <c r="L43" s="697" t="s">
        <v>440</v>
      </c>
      <c r="M43" s="374" t="s">
        <v>453</v>
      </c>
      <c r="N43" s="375"/>
      <c r="O43" s="375"/>
      <c r="P43" s="375"/>
      <c r="Q43" s="375" t="s">
        <v>442</v>
      </c>
      <c r="R43" s="383"/>
      <c r="AK43" s="697" t="s">
        <v>440</v>
      </c>
      <c r="AL43" s="374" t="s">
        <v>453</v>
      </c>
      <c r="AM43" s="375"/>
      <c r="AN43" s="375"/>
      <c r="AO43" s="375"/>
      <c r="AP43" s="375" t="s">
        <v>442</v>
      </c>
      <c r="AQ43" s="383"/>
    </row>
    <row r="44" spans="12:43" x14ac:dyDescent="0.25">
      <c r="L44" s="698"/>
      <c r="M44" s="366" t="s">
        <v>443</v>
      </c>
      <c r="N44" s="198"/>
      <c r="O44" s="198"/>
      <c r="P44" s="198"/>
      <c r="Q44" s="198"/>
      <c r="R44" s="200"/>
      <c r="AK44" s="698"/>
      <c r="AL44" s="366" t="s">
        <v>443</v>
      </c>
      <c r="AM44" s="198"/>
      <c r="AN44" s="198"/>
      <c r="AO44" s="198"/>
      <c r="AP44" s="198"/>
      <c r="AQ44" s="200"/>
    </row>
    <row r="45" spans="12:43" x14ac:dyDescent="0.25">
      <c r="L45" s="698"/>
      <c r="M45" s="366" t="s">
        <v>444</v>
      </c>
      <c r="N45" s="198">
        <v>30</v>
      </c>
      <c r="O45" s="198" t="s">
        <v>445</v>
      </c>
      <c r="P45" s="198">
        <v>30</v>
      </c>
      <c r="Q45" s="198"/>
      <c r="R45" s="200"/>
      <c r="AK45" s="698"/>
      <c r="AL45" s="366" t="s">
        <v>444</v>
      </c>
      <c r="AM45" s="198">
        <v>30</v>
      </c>
      <c r="AN45" s="198" t="s">
        <v>445</v>
      </c>
      <c r="AO45" s="198">
        <v>30</v>
      </c>
      <c r="AP45" s="198"/>
      <c r="AQ45" s="200"/>
    </row>
    <row r="46" spans="12:43" x14ac:dyDescent="0.25">
      <c r="L46" s="698"/>
      <c r="M46" s="366" t="s">
        <v>446</v>
      </c>
      <c r="N46" s="198"/>
      <c r="O46" s="198"/>
      <c r="P46" s="198"/>
      <c r="Q46" s="198"/>
      <c r="R46" s="200"/>
      <c r="AK46" s="698"/>
      <c r="AL46" s="366" t="s">
        <v>446</v>
      </c>
      <c r="AM46" s="198"/>
      <c r="AN46" s="198"/>
      <c r="AO46" s="198"/>
      <c r="AP46" s="198"/>
      <c r="AQ46" s="200"/>
    </row>
    <row r="47" spans="12:43" x14ac:dyDescent="0.25">
      <c r="L47" s="698"/>
      <c r="M47" s="366" t="s">
        <v>444</v>
      </c>
      <c r="N47" s="198">
        <v>40</v>
      </c>
      <c r="O47" s="198" t="s">
        <v>445</v>
      </c>
      <c r="P47" s="198">
        <v>40</v>
      </c>
      <c r="Q47" s="198"/>
      <c r="R47" s="200"/>
      <c r="AK47" s="698"/>
      <c r="AL47" s="366" t="s">
        <v>444</v>
      </c>
      <c r="AM47" s="198">
        <v>40</v>
      </c>
      <c r="AN47" s="198" t="s">
        <v>445</v>
      </c>
      <c r="AO47" s="198">
        <v>40</v>
      </c>
      <c r="AP47" s="198"/>
      <c r="AQ47" s="200"/>
    </row>
    <row r="48" spans="12:43" x14ac:dyDescent="0.25">
      <c r="L48" s="698"/>
      <c r="M48" s="366" t="s">
        <v>451</v>
      </c>
      <c r="N48" s="198" t="s">
        <v>452</v>
      </c>
      <c r="O48" s="198" t="s">
        <v>445</v>
      </c>
      <c r="P48" s="198"/>
      <c r="Q48" s="198"/>
      <c r="R48" s="200"/>
      <c r="AK48" s="698"/>
      <c r="AL48" s="366" t="s">
        <v>451</v>
      </c>
      <c r="AM48" s="198" t="s">
        <v>452</v>
      </c>
      <c r="AN48" s="198" t="s">
        <v>445</v>
      </c>
      <c r="AO48" s="198"/>
      <c r="AP48" s="198"/>
      <c r="AQ48" s="200"/>
    </row>
    <row r="49" spans="12:43" x14ac:dyDescent="0.25">
      <c r="L49" s="698"/>
      <c r="M49" s="366" t="s">
        <v>447</v>
      </c>
      <c r="N49" s="198">
        <v>180</v>
      </c>
      <c r="O49" s="198" t="s">
        <v>445</v>
      </c>
      <c r="P49" s="198"/>
      <c r="Q49" s="198"/>
      <c r="R49" s="200"/>
      <c r="AK49" s="698"/>
      <c r="AL49" s="366" t="s">
        <v>447</v>
      </c>
      <c r="AM49" s="198">
        <v>154.69999999999999</v>
      </c>
      <c r="AN49" s="198" t="s">
        <v>445</v>
      </c>
      <c r="AO49" s="198"/>
      <c r="AP49" s="198"/>
      <c r="AQ49" s="200"/>
    </row>
    <row r="50" spans="12:43" x14ac:dyDescent="0.25">
      <c r="L50" s="698"/>
      <c r="M50" s="366" t="s">
        <v>448</v>
      </c>
      <c r="N50" s="373">
        <v>1.7189000000000001</v>
      </c>
      <c r="O50" s="373" t="s">
        <v>449</v>
      </c>
      <c r="P50" s="373">
        <v>15.1853</v>
      </c>
      <c r="Q50" s="373" t="s">
        <v>442</v>
      </c>
      <c r="R50" s="200">
        <v>783.43</v>
      </c>
      <c r="AK50" s="698"/>
      <c r="AL50" s="366" t="s">
        <v>448</v>
      </c>
      <c r="AM50" s="373">
        <v>1.7189000000000001</v>
      </c>
      <c r="AN50" s="373" t="s">
        <v>449</v>
      </c>
      <c r="AO50" s="373">
        <v>46.961500000000001</v>
      </c>
      <c r="AP50" s="373" t="s">
        <v>442</v>
      </c>
      <c r="AQ50" s="200">
        <v>2632.07</v>
      </c>
    </row>
    <row r="51" spans="12:43" x14ac:dyDescent="0.25">
      <c r="L51" s="381"/>
      <c r="M51" s="376"/>
      <c r="N51" s="377"/>
      <c r="O51" s="377"/>
      <c r="P51" s="377"/>
      <c r="Q51" s="377"/>
      <c r="R51" s="382"/>
      <c r="AK51" s="381"/>
      <c r="AL51" s="376"/>
      <c r="AM51" s="377"/>
      <c r="AN51" s="377"/>
      <c r="AO51" s="377"/>
      <c r="AP51" s="377"/>
      <c r="AQ51" s="382"/>
    </row>
    <row r="52" spans="12:43" x14ac:dyDescent="0.25">
      <c r="L52" s="697" t="s">
        <v>440</v>
      </c>
      <c r="M52" s="374" t="s">
        <v>454</v>
      </c>
      <c r="N52" s="375"/>
      <c r="O52" s="375"/>
      <c r="P52" s="375"/>
      <c r="Q52" s="375" t="s">
        <v>442</v>
      </c>
      <c r="R52" s="383"/>
      <c r="AK52" s="697" t="s">
        <v>440</v>
      </c>
      <c r="AL52" s="374" t="s">
        <v>454</v>
      </c>
      <c r="AM52" s="375"/>
      <c r="AN52" s="375"/>
      <c r="AO52" s="375"/>
      <c r="AP52" s="375" t="s">
        <v>442</v>
      </c>
      <c r="AQ52" s="383"/>
    </row>
    <row r="53" spans="12:43" x14ac:dyDescent="0.25">
      <c r="L53" s="698"/>
      <c r="M53" s="366" t="s">
        <v>455</v>
      </c>
      <c r="N53" s="198"/>
      <c r="O53" s="198"/>
      <c r="P53" s="198"/>
      <c r="Q53" s="198"/>
      <c r="R53" s="200"/>
      <c r="AK53" s="698"/>
      <c r="AL53" s="366" t="s">
        <v>455</v>
      </c>
      <c r="AM53" s="198"/>
      <c r="AN53" s="198"/>
      <c r="AO53" s="198"/>
      <c r="AP53" s="198"/>
      <c r="AQ53" s="200"/>
    </row>
    <row r="54" spans="12:43" x14ac:dyDescent="0.25">
      <c r="L54" s="698"/>
      <c r="M54" s="366" t="s">
        <v>444</v>
      </c>
      <c r="N54" s="198">
        <v>30</v>
      </c>
      <c r="O54" s="198" t="s">
        <v>445</v>
      </c>
      <c r="P54" s="198">
        <v>30</v>
      </c>
      <c r="Q54" s="198"/>
      <c r="R54" s="200"/>
      <c r="AK54" s="698"/>
      <c r="AL54" s="366" t="s">
        <v>444</v>
      </c>
      <c r="AM54" s="198">
        <v>30</v>
      </c>
      <c r="AN54" s="198" t="s">
        <v>445</v>
      </c>
      <c r="AO54" s="198">
        <v>30</v>
      </c>
      <c r="AP54" s="198"/>
      <c r="AQ54" s="200"/>
    </row>
    <row r="55" spans="12:43" x14ac:dyDescent="0.25">
      <c r="L55" s="698"/>
      <c r="M55" s="366" t="s">
        <v>446</v>
      </c>
      <c r="N55" s="198"/>
      <c r="O55" s="198"/>
      <c r="P55" s="198"/>
      <c r="Q55" s="198"/>
      <c r="R55" s="200"/>
      <c r="AK55" s="698"/>
      <c r="AL55" s="366" t="s">
        <v>446</v>
      </c>
      <c r="AM55" s="198"/>
      <c r="AN55" s="198"/>
      <c r="AO55" s="198"/>
      <c r="AP55" s="198"/>
      <c r="AQ55" s="200"/>
    </row>
    <row r="56" spans="12:43" x14ac:dyDescent="0.25">
      <c r="L56" s="698"/>
      <c r="M56" s="366" t="s">
        <v>444</v>
      </c>
      <c r="N56" s="198">
        <v>90</v>
      </c>
      <c r="O56" s="198" t="s">
        <v>445</v>
      </c>
      <c r="P56" s="198">
        <v>90</v>
      </c>
      <c r="Q56" s="198"/>
      <c r="R56" s="200"/>
      <c r="AK56" s="698"/>
      <c r="AL56" s="366" t="s">
        <v>444</v>
      </c>
      <c r="AM56" s="198">
        <v>90</v>
      </c>
      <c r="AN56" s="198" t="s">
        <v>445</v>
      </c>
      <c r="AO56" s="198">
        <v>90</v>
      </c>
      <c r="AP56" s="198"/>
      <c r="AQ56" s="200"/>
    </row>
    <row r="57" spans="12:43" x14ac:dyDescent="0.25">
      <c r="L57" s="698"/>
      <c r="M57" s="366" t="s">
        <v>456</v>
      </c>
      <c r="N57" s="198">
        <v>108.2</v>
      </c>
      <c r="O57" s="198" t="s">
        <v>445</v>
      </c>
      <c r="P57" s="198"/>
      <c r="Q57" s="198"/>
      <c r="R57" s="200"/>
      <c r="AK57" s="698"/>
      <c r="AL57" s="366" t="s">
        <v>456</v>
      </c>
      <c r="AM57" s="198">
        <v>99.1</v>
      </c>
      <c r="AN57" s="198" t="s">
        <v>445</v>
      </c>
      <c r="AO57" s="198"/>
      <c r="AP57" s="198"/>
      <c r="AQ57" s="200"/>
    </row>
    <row r="58" spans="12:43" x14ac:dyDescent="0.25">
      <c r="L58" s="698"/>
      <c r="M58" s="366" t="s">
        <v>448</v>
      </c>
      <c r="N58" s="373">
        <v>0.2</v>
      </c>
      <c r="O58" s="373" t="s">
        <v>71</v>
      </c>
      <c r="P58" s="373">
        <v>2.4790000000000001</v>
      </c>
      <c r="Q58" s="373" t="s">
        <v>442</v>
      </c>
      <c r="R58" s="200">
        <v>1139.5</v>
      </c>
      <c r="AK58" s="698"/>
      <c r="AL58" s="366" t="s">
        <v>448</v>
      </c>
      <c r="AM58" s="373">
        <v>0.2</v>
      </c>
      <c r="AN58" s="373" t="s">
        <v>71</v>
      </c>
      <c r="AO58" s="373">
        <v>4.9119999999999999</v>
      </c>
      <c r="AP58" s="373" t="s">
        <v>442</v>
      </c>
      <c r="AQ58" s="200">
        <v>2356</v>
      </c>
    </row>
    <row r="59" spans="12:43" x14ac:dyDescent="0.25">
      <c r="L59" s="698"/>
      <c r="M59" s="366" t="s">
        <v>457</v>
      </c>
      <c r="N59" s="198"/>
      <c r="O59" s="198"/>
      <c r="P59" s="198"/>
      <c r="Q59" s="198"/>
      <c r="R59" s="200"/>
      <c r="AK59" s="698"/>
      <c r="AL59" s="366" t="s">
        <v>457</v>
      </c>
      <c r="AM59" s="198"/>
      <c r="AN59" s="198"/>
      <c r="AO59" s="198"/>
      <c r="AP59" s="198"/>
      <c r="AQ59" s="200"/>
    </row>
    <row r="60" spans="12:43" x14ac:dyDescent="0.25">
      <c r="L60" s="698"/>
      <c r="M60" s="366" t="s">
        <v>458</v>
      </c>
      <c r="N60" s="198"/>
      <c r="O60" s="198" t="s">
        <v>445</v>
      </c>
      <c r="P60" s="198">
        <v>90</v>
      </c>
      <c r="Q60" s="198"/>
      <c r="R60" s="200"/>
      <c r="AK60" s="698"/>
      <c r="AL60" s="366" t="s">
        <v>458</v>
      </c>
      <c r="AM60" s="198"/>
      <c r="AN60" s="198" t="s">
        <v>445</v>
      </c>
      <c r="AO60" s="198">
        <v>90</v>
      </c>
      <c r="AP60" s="198"/>
      <c r="AQ60" s="200"/>
    </row>
    <row r="61" spans="12:43" x14ac:dyDescent="0.25">
      <c r="L61" s="381"/>
      <c r="M61" s="376"/>
      <c r="N61" s="377"/>
      <c r="O61" s="377"/>
      <c r="P61" s="377"/>
      <c r="Q61" s="377"/>
      <c r="R61" s="382"/>
      <c r="AK61" s="381"/>
      <c r="AL61" s="376"/>
      <c r="AM61" s="377"/>
      <c r="AN61" s="377"/>
      <c r="AO61" s="377"/>
      <c r="AP61" s="377"/>
      <c r="AQ61" s="382"/>
    </row>
    <row r="62" spans="12:43" x14ac:dyDescent="0.25">
      <c r="L62" s="697" t="s">
        <v>440</v>
      </c>
      <c r="M62" s="374" t="s">
        <v>459</v>
      </c>
      <c r="N62" s="375"/>
      <c r="O62" s="375"/>
      <c r="P62" s="375"/>
      <c r="Q62" s="375" t="s">
        <v>442</v>
      </c>
      <c r="R62" s="383"/>
      <c r="AK62" s="697" t="s">
        <v>440</v>
      </c>
      <c r="AL62" s="374" t="s">
        <v>459</v>
      </c>
      <c r="AM62" s="375"/>
      <c r="AN62" s="375"/>
      <c r="AO62" s="375"/>
      <c r="AP62" s="375" t="s">
        <v>442</v>
      </c>
      <c r="AQ62" s="383"/>
    </row>
    <row r="63" spans="12:43" x14ac:dyDescent="0.25">
      <c r="L63" s="698"/>
      <c r="M63" s="366" t="s">
        <v>448</v>
      </c>
      <c r="N63" s="373">
        <v>25</v>
      </c>
      <c r="O63" s="373" t="s">
        <v>445</v>
      </c>
      <c r="P63" s="373">
        <v>108.2</v>
      </c>
      <c r="Q63" s="373" t="s">
        <v>442</v>
      </c>
      <c r="R63" s="200">
        <v>332.73</v>
      </c>
      <c r="AK63" s="698"/>
      <c r="AL63" s="366" t="s">
        <v>448</v>
      </c>
      <c r="AM63" s="373">
        <v>25</v>
      </c>
      <c r="AN63" s="373" t="s">
        <v>445</v>
      </c>
      <c r="AO63" s="373">
        <v>99.1</v>
      </c>
      <c r="AP63" s="373" t="s">
        <v>442</v>
      </c>
      <c r="AQ63" s="200">
        <v>296.36</v>
      </c>
    </row>
    <row r="64" spans="12:43" x14ac:dyDescent="0.25">
      <c r="L64" s="381"/>
      <c r="M64" s="376"/>
      <c r="N64" s="377"/>
      <c r="O64" s="377"/>
      <c r="P64" s="377"/>
      <c r="Q64" s="377"/>
      <c r="R64" s="382"/>
      <c r="AK64" s="381"/>
      <c r="AL64" s="376"/>
      <c r="AM64" s="377"/>
      <c r="AN64" s="377"/>
      <c r="AO64" s="377"/>
      <c r="AP64" s="377"/>
      <c r="AQ64" s="382"/>
    </row>
    <row r="65" spans="12:43" x14ac:dyDescent="0.25">
      <c r="L65" s="697" t="s">
        <v>440</v>
      </c>
      <c r="M65" s="374" t="s">
        <v>460</v>
      </c>
      <c r="N65" s="375"/>
      <c r="O65" s="375"/>
      <c r="P65" s="375"/>
      <c r="Q65" s="375" t="s">
        <v>442</v>
      </c>
      <c r="R65" s="383"/>
      <c r="AK65" s="697" t="s">
        <v>440</v>
      </c>
      <c r="AL65" s="374" t="s">
        <v>460</v>
      </c>
      <c r="AM65" s="375"/>
      <c r="AN65" s="375"/>
      <c r="AO65" s="375"/>
      <c r="AP65" s="375" t="s">
        <v>442</v>
      </c>
      <c r="AQ65" s="383"/>
    </row>
    <row r="66" spans="12:43" x14ac:dyDescent="0.25">
      <c r="L66" s="698"/>
      <c r="M66" s="366" t="s">
        <v>444</v>
      </c>
      <c r="N66" s="198">
        <v>0</v>
      </c>
      <c r="O66" s="198" t="s">
        <v>445</v>
      </c>
      <c r="P66" s="198"/>
      <c r="Q66" s="198"/>
      <c r="R66" s="200"/>
      <c r="AK66" s="698"/>
      <c r="AL66" s="366" t="s">
        <v>444</v>
      </c>
      <c r="AM66" s="198">
        <v>0</v>
      </c>
      <c r="AN66" s="198" t="s">
        <v>445</v>
      </c>
      <c r="AO66" s="198"/>
      <c r="AP66" s="198"/>
      <c r="AQ66" s="200"/>
    </row>
    <row r="67" spans="12:43" x14ac:dyDescent="0.25">
      <c r="L67" s="698"/>
      <c r="M67" s="366" t="s">
        <v>448</v>
      </c>
      <c r="N67" s="373">
        <v>0.15</v>
      </c>
      <c r="O67" s="373" t="s">
        <v>71</v>
      </c>
      <c r="P67" s="373">
        <v>5.0570000000000004</v>
      </c>
      <c r="Q67" s="373" t="s">
        <v>442</v>
      </c>
      <c r="R67" s="200">
        <v>3271.33</v>
      </c>
      <c r="AK67" s="698"/>
      <c r="AL67" s="366" t="s">
        <v>448</v>
      </c>
      <c r="AM67" s="373">
        <v>0.15</v>
      </c>
      <c r="AN67" s="373" t="s">
        <v>71</v>
      </c>
      <c r="AO67" s="373">
        <v>11.481</v>
      </c>
      <c r="AP67" s="373" t="s">
        <v>442</v>
      </c>
      <c r="AQ67" s="200">
        <v>7554</v>
      </c>
    </row>
    <row r="68" spans="12:43" x14ac:dyDescent="0.25">
      <c r="L68" s="381"/>
      <c r="M68" s="376"/>
      <c r="N68" s="377"/>
      <c r="O68" s="377"/>
      <c r="P68" s="377"/>
      <c r="Q68" s="377"/>
      <c r="R68" s="382"/>
      <c r="AK68" s="381"/>
      <c r="AL68" s="376"/>
      <c r="AM68" s="377"/>
      <c r="AN68" s="377"/>
      <c r="AO68" s="377"/>
      <c r="AP68" s="377"/>
      <c r="AQ68" s="382"/>
    </row>
    <row r="69" spans="12:43" ht="30" x14ac:dyDescent="0.25">
      <c r="L69" s="697" t="s">
        <v>440</v>
      </c>
      <c r="M69" s="374" t="s">
        <v>461</v>
      </c>
      <c r="N69" s="375"/>
      <c r="O69" s="375"/>
      <c r="P69" s="375"/>
      <c r="Q69" s="375" t="s">
        <v>442</v>
      </c>
      <c r="R69" s="383"/>
      <c r="AK69" s="697" t="s">
        <v>440</v>
      </c>
      <c r="AL69" s="374" t="s">
        <v>461</v>
      </c>
      <c r="AM69" s="375"/>
      <c r="AN69" s="375"/>
      <c r="AO69" s="375"/>
      <c r="AP69" s="375" t="s">
        <v>442</v>
      </c>
      <c r="AQ69" s="383"/>
    </row>
    <row r="70" spans="12:43" ht="30" x14ac:dyDescent="0.25">
      <c r="L70" s="698"/>
      <c r="M70" s="366" t="s">
        <v>462</v>
      </c>
      <c r="N70" s="198"/>
      <c r="O70" s="198"/>
      <c r="P70" s="198"/>
      <c r="Q70" s="198"/>
      <c r="R70" s="200"/>
      <c r="AK70" s="698"/>
      <c r="AL70" s="366" t="s">
        <v>462</v>
      </c>
      <c r="AM70" s="198"/>
      <c r="AN70" s="198"/>
      <c r="AO70" s="198"/>
      <c r="AP70" s="198"/>
      <c r="AQ70" s="200"/>
    </row>
    <row r="71" spans="12:43" x14ac:dyDescent="0.25">
      <c r="L71" s="698"/>
      <c r="M71" s="366" t="s">
        <v>463</v>
      </c>
      <c r="N71" s="198">
        <v>0</v>
      </c>
      <c r="O71" s="198"/>
      <c r="P71" s="198"/>
      <c r="Q71" s="198"/>
      <c r="R71" s="200"/>
      <c r="AK71" s="698"/>
      <c r="AL71" s="366" t="s">
        <v>463</v>
      </c>
      <c r="AM71" s="198">
        <v>0</v>
      </c>
      <c r="AN71" s="198"/>
      <c r="AO71" s="198"/>
      <c r="AP71" s="198"/>
      <c r="AQ71" s="200"/>
    </row>
    <row r="72" spans="12:43" x14ac:dyDescent="0.25">
      <c r="L72" s="698"/>
      <c r="M72" s="366" t="s">
        <v>464</v>
      </c>
      <c r="N72" s="198">
        <v>75</v>
      </c>
      <c r="O72" s="198" t="s">
        <v>267</v>
      </c>
      <c r="P72" s="198"/>
      <c r="Q72" s="198"/>
      <c r="R72" s="200"/>
      <c r="AK72" s="698"/>
      <c r="AL72" s="366" t="s">
        <v>464</v>
      </c>
      <c r="AM72" s="198">
        <v>75</v>
      </c>
      <c r="AN72" s="198" t="s">
        <v>267</v>
      </c>
      <c r="AO72" s="198"/>
      <c r="AP72" s="198"/>
      <c r="AQ72" s="200"/>
    </row>
    <row r="73" spans="12:43" x14ac:dyDescent="0.25">
      <c r="L73" s="698"/>
      <c r="M73" s="366" t="s">
        <v>465</v>
      </c>
      <c r="N73" s="198">
        <v>0</v>
      </c>
      <c r="O73" s="198" t="s">
        <v>71</v>
      </c>
      <c r="P73" s="198"/>
      <c r="Q73" s="198"/>
      <c r="R73" s="200"/>
      <c r="AK73" s="698"/>
      <c r="AL73" s="366" t="s">
        <v>465</v>
      </c>
      <c r="AM73" s="198">
        <v>0</v>
      </c>
      <c r="AN73" s="198" t="s">
        <v>71</v>
      </c>
      <c r="AO73" s="198"/>
      <c r="AP73" s="198"/>
      <c r="AQ73" s="200"/>
    </row>
    <row r="74" spans="12:43" x14ac:dyDescent="0.25">
      <c r="L74" s="698"/>
      <c r="M74" s="366" t="s">
        <v>466</v>
      </c>
      <c r="N74" s="198">
        <v>0</v>
      </c>
      <c r="O74" s="198"/>
      <c r="P74" s="198"/>
      <c r="Q74" s="198"/>
      <c r="R74" s="200"/>
      <c r="AK74" s="698"/>
      <c r="AL74" s="366" t="s">
        <v>466</v>
      </c>
      <c r="AM74" s="198">
        <v>0</v>
      </c>
      <c r="AN74" s="198"/>
      <c r="AO74" s="198"/>
      <c r="AP74" s="198"/>
      <c r="AQ74" s="200"/>
    </row>
    <row r="75" spans="12:43" x14ac:dyDescent="0.25">
      <c r="L75" s="698"/>
      <c r="M75" s="366" t="s">
        <v>467</v>
      </c>
      <c r="N75" s="373">
        <v>10</v>
      </c>
      <c r="O75" s="373" t="s">
        <v>445</v>
      </c>
      <c r="P75" s="373">
        <v>0</v>
      </c>
      <c r="Q75" s="373" t="s">
        <v>442</v>
      </c>
      <c r="R75" s="200">
        <v>100</v>
      </c>
      <c r="AK75" s="698"/>
      <c r="AL75" s="366" t="s">
        <v>467</v>
      </c>
      <c r="AM75" s="373">
        <v>10</v>
      </c>
      <c r="AN75" s="373" t="s">
        <v>445</v>
      </c>
      <c r="AO75" s="373">
        <v>0</v>
      </c>
      <c r="AP75" s="373" t="s">
        <v>442</v>
      </c>
      <c r="AQ75" s="200">
        <v>99.86</v>
      </c>
    </row>
    <row r="76" spans="12:43" x14ac:dyDescent="0.25">
      <c r="L76" s="698"/>
      <c r="M76" s="366" t="s">
        <v>457</v>
      </c>
      <c r="N76" s="198"/>
      <c r="O76" s="198"/>
      <c r="P76" s="198"/>
      <c r="Q76" s="198"/>
      <c r="R76" s="200"/>
      <c r="AK76" s="698"/>
      <c r="AL76" s="366" t="s">
        <v>457</v>
      </c>
      <c r="AM76" s="198"/>
      <c r="AN76" s="198"/>
      <c r="AO76" s="198"/>
      <c r="AP76" s="198"/>
      <c r="AQ76" s="200"/>
    </row>
    <row r="77" spans="12:43" x14ac:dyDescent="0.25">
      <c r="L77" s="698"/>
      <c r="M77" s="366" t="s">
        <v>468</v>
      </c>
      <c r="N77" s="198"/>
      <c r="O77" s="198" t="s">
        <v>71</v>
      </c>
      <c r="P77" s="198">
        <v>0</v>
      </c>
      <c r="Q77" s="198"/>
      <c r="R77" s="200"/>
      <c r="AK77" s="698"/>
      <c r="AL77" s="366" t="s">
        <v>468</v>
      </c>
      <c r="AM77" s="198"/>
      <c r="AN77" s="198" t="s">
        <v>71</v>
      </c>
      <c r="AO77" s="198">
        <v>0</v>
      </c>
      <c r="AP77" s="198"/>
      <c r="AQ77" s="200"/>
    </row>
    <row r="78" spans="12:43" x14ac:dyDescent="0.25">
      <c r="L78" s="381"/>
      <c r="M78" s="376"/>
      <c r="N78" s="377"/>
      <c r="O78" s="377"/>
      <c r="P78" s="377"/>
      <c r="Q78" s="377"/>
      <c r="R78" s="382"/>
      <c r="AK78" s="381"/>
      <c r="AL78" s="376"/>
      <c r="AM78" s="377"/>
      <c r="AN78" s="377"/>
      <c r="AO78" s="377"/>
      <c r="AP78" s="377"/>
      <c r="AQ78" s="382"/>
    </row>
    <row r="79" spans="12:43" x14ac:dyDescent="0.25">
      <c r="L79" s="697" t="s">
        <v>440</v>
      </c>
      <c r="M79" s="374" t="s">
        <v>469</v>
      </c>
      <c r="N79" s="375"/>
      <c r="O79" s="375"/>
      <c r="P79" s="375"/>
      <c r="Q79" s="375" t="s">
        <v>442</v>
      </c>
      <c r="R79" s="383"/>
      <c r="AK79" s="697" t="s">
        <v>440</v>
      </c>
      <c r="AL79" s="374" t="s">
        <v>469</v>
      </c>
      <c r="AM79" s="375"/>
      <c r="AN79" s="375"/>
      <c r="AO79" s="375"/>
      <c r="AP79" s="375" t="s">
        <v>442</v>
      </c>
      <c r="AQ79" s="383"/>
    </row>
    <row r="80" spans="12:43" x14ac:dyDescent="0.25">
      <c r="L80" s="698"/>
      <c r="M80" s="366" t="s">
        <v>470</v>
      </c>
      <c r="N80" s="198"/>
      <c r="O80" s="198"/>
      <c r="P80" s="198"/>
      <c r="Q80" s="198"/>
      <c r="R80" s="200"/>
      <c r="AK80" s="698"/>
      <c r="AL80" s="366" t="s">
        <v>470</v>
      </c>
      <c r="AM80" s="198"/>
      <c r="AN80" s="198"/>
      <c r="AO80" s="198"/>
      <c r="AP80" s="198"/>
      <c r="AQ80" s="200"/>
    </row>
    <row r="81" spans="12:43" x14ac:dyDescent="0.25">
      <c r="L81" s="698"/>
      <c r="M81" s="366" t="s">
        <v>471</v>
      </c>
      <c r="N81" s="198">
        <v>0.99960000000000004</v>
      </c>
      <c r="O81" s="198"/>
      <c r="P81" s="198"/>
      <c r="Q81" s="198"/>
      <c r="R81" s="200"/>
      <c r="AK81" s="698"/>
      <c r="AL81" s="366" t="s">
        <v>471</v>
      </c>
      <c r="AM81" s="198">
        <v>0.99960000000000004</v>
      </c>
      <c r="AN81" s="198"/>
      <c r="AO81" s="198"/>
      <c r="AP81" s="198"/>
      <c r="AQ81" s="200"/>
    </row>
    <row r="82" spans="12:43" x14ac:dyDescent="0.25">
      <c r="L82" s="698"/>
      <c r="M82" s="366" t="s">
        <v>472</v>
      </c>
      <c r="N82" s="198">
        <v>0</v>
      </c>
      <c r="O82" s="198" t="s">
        <v>473</v>
      </c>
      <c r="P82" s="198"/>
      <c r="Q82" s="198"/>
      <c r="R82" s="200"/>
      <c r="AK82" s="698"/>
      <c r="AL82" s="366" t="s">
        <v>472</v>
      </c>
      <c r="AM82" s="198">
        <v>0</v>
      </c>
      <c r="AN82" s="198" t="s">
        <v>473</v>
      </c>
      <c r="AO82" s="198"/>
      <c r="AP82" s="198"/>
      <c r="AQ82" s="200"/>
    </row>
    <row r="83" spans="12:43" x14ac:dyDescent="0.25">
      <c r="L83" s="698"/>
      <c r="M83" s="366" t="s">
        <v>474</v>
      </c>
      <c r="N83" s="198">
        <v>510</v>
      </c>
      <c r="O83" s="198" t="s">
        <v>475</v>
      </c>
      <c r="P83" s="198"/>
      <c r="Q83" s="198"/>
      <c r="R83" s="200"/>
      <c r="AK83" s="698"/>
      <c r="AL83" s="366" t="s">
        <v>474</v>
      </c>
      <c r="AM83" s="198">
        <v>510</v>
      </c>
      <c r="AN83" s="198" t="s">
        <v>475</v>
      </c>
      <c r="AO83" s="198"/>
      <c r="AP83" s="198"/>
      <c r="AQ83" s="200"/>
    </row>
    <row r="84" spans="12:43" x14ac:dyDescent="0.25">
      <c r="L84" s="698"/>
      <c r="M84" s="366" t="s">
        <v>476</v>
      </c>
      <c r="N84" s="198">
        <v>0.45</v>
      </c>
      <c r="O84" s="198" t="s">
        <v>71</v>
      </c>
      <c r="P84" s="198"/>
      <c r="Q84" s="198"/>
      <c r="R84" s="200"/>
      <c r="AK84" s="698"/>
      <c r="AL84" s="366" t="s">
        <v>476</v>
      </c>
      <c r="AM84" s="198">
        <v>0.104</v>
      </c>
      <c r="AN84" s="198" t="s">
        <v>71</v>
      </c>
      <c r="AO84" s="198"/>
      <c r="AP84" s="198"/>
      <c r="AQ84" s="200"/>
    </row>
    <row r="85" spans="12:43" x14ac:dyDescent="0.25">
      <c r="L85" s="698"/>
      <c r="M85" s="366" t="s">
        <v>466</v>
      </c>
      <c r="N85" s="198">
        <v>0</v>
      </c>
      <c r="O85" s="198"/>
      <c r="P85" s="198"/>
      <c r="Q85" s="198"/>
      <c r="R85" s="200"/>
      <c r="AK85" s="698"/>
      <c r="AL85" s="366" t="s">
        <v>466</v>
      </c>
      <c r="AM85" s="198">
        <v>0</v>
      </c>
      <c r="AN85" s="198"/>
      <c r="AO85" s="198"/>
      <c r="AP85" s="198"/>
      <c r="AQ85" s="200"/>
    </row>
    <row r="86" spans="12:43" x14ac:dyDescent="0.25">
      <c r="L86" s="698"/>
      <c r="M86" s="366" t="s">
        <v>467</v>
      </c>
      <c r="N86" s="373">
        <v>10</v>
      </c>
      <c r="O86" s="373" t="s">
        <v>445</v>
      </c>
      <c r="P86" s="373">
        <v>0</v>
      </c>
      <c r="Q86" s="373" t="s">
        <v>442</v>
      </c>
      <c r="R86" s="200">
        <v>100</v>
      </c>
      <c r="AK86" s="698"/>
      <c r="AL86" s="366" t="s">
        <v>467</v>
      </c>
      <c r="AM86" s="373">
        <v>10</v>
      </c>
      <c r="AN86" s="373" t="s">
        <v>445</v>
      </c>
      <c r="AO86" s="373">
        <v>0</v>
      </c>
      <c r="AP86" s="373" t="s">
        <v>442</v>
      </c>
      <c r="AQ86" s="200">
        <v>99.86</v>
      </c>
    </row>
    <row r="87" spans="12:43" x14ac:dyDescent="0.25">
      <c r="L87" s="698"/>
      <c r="M87" s="366" t="s">
        <v>457</v>
      </c>
      <c r="N87" s="198"/>
      <c r="O87" s="198"/>
      <c r="P87" s="198"/>
      <c r="Q87" s="198"/>
      <c r="R87" s="200"/>
      <c r="AK87" s="698"/>
      <c r="AL87" s="366" t="s">
        <v>457</v>
      </c>
      <c r="AM87" s="198"/>
      <c r="AN87" s="198"/>
      <c r="AO87" s="198"/>
      <c r="AP87" s="198"/>
      <c r="AQ87" s="200"/>
    </row>
    <row r="88" spans="12:43" x14ac:dyDescent="0.25">
      <c r="L88" s="698"/>
      <c r="M88" s="366" t="s">
        <v>468</v>
      </c>
      <c r="N88" s="198"/>
      <c r="O88" s="198" t="s">
        <v>71</v>
      </c>
      <c r="P88" s="198">
        <v>0</v>
      </c>
      <c r="Q88" s="198"/>
      <c r="R88" s="200"/>
      <c r="AK88" s="698"/>
      <c r="AL88" s="366" t="s">
        <v>468</v>
      </c>
      <c r="AM88" s="198"/>
      <c r="AN88" s="198" t="s">
        <v>71</v>
      </c>
      <c r="AO88" s="198">
        <v>0</v>
      </c>
      <c r="AP88" s="198"/>
      <c r="AQ88" s="200"/>
    </row>
    <row r="89" spans="12:43" x14ac:dyDescent="0.25">
      <c r="L89" s="381"/>
      <c r="M89" s="376"/>
      <c r="N89" s="377"/>
      <c r="O89" s="377"/>
      <c r="P89" s="377"/>
      <c r="Q89" s="377"/>
      <c r="R89" s="382"/>
      <c r="AK89" s="381"/>
      <c r="AL89" s="376"/>
      <c r="AM89" s="377"/>
      <c r="AN89" s="377"/>
      <c r="AO89" s="377"/>
      <c r="AP89" s="377"/>
      <c r="AQ89" s="382"/>
    </row>
    <row r="90" spans="12:43" x14ac:dyDescent="0.25">
      <c r="L90" s="697" t="s">
        <v>440</v>
      </c>
      <c r="M90" s="374" t="s">
        <v>477</v>
      </c>
      <c r="N90" s="375"/>
      <c r="O90" s="375"/>
      <c r="P90" s="375"/>
      <c r="Q90" s="375" t="s">
        <v>442</v>
      </c>
      <c r="R90" s="383"/>
      <c r="AK90" s="697" t="s">
        <v>440</v>
      </c>
      <c r="AL90" s="374" t="s">
        <v>477</v>
      </c>
      <c r="AM90" s="375"/>
      <c r="AN90" s="375"/>
      <c r="AO90" s="375"/>
      <c r="AP90" s="375" t="s">
        <v>442</v>
      </c>
      <c r="AQ90" s="383"/>
    </row>
    <row r="91" spans="12:43" ht="30" x14ac:dyDescent="0.25">
      <c r="L91" s="698"/>
      <c r="M91" s="366" t="s">
        <v>479</v>
      </c>
      <c r="N91" s="198"/>
      <c r="O91" s="198"/>
      <c r="P91" s="198"/>
      <c r="Q91" s="198"/>
      <c r="R91" s="200"/>
      <c r="AK91" s="698"/>
      <c r="AL91" s="366" t="s">
        <v>479</v>
      </c>
      <c r="AM91" s="198"/>
      <c r="AN91" s="198"/>
      <c r="AO91" s="198"/>
      <c r="AP91" s="198"/>
      <c r="AQ91" s="200"/>
    </row>
    <row r="92" spans="12:43" x14ac:dyDescent="0.25">
      <c r="L92" s="698"/>
      <c r="M92" s="366" t="s">
        <v>471</v>
      </c>
      <c r="N92" s="198">
        <v>0.99965999999999999</v>
      </c>
      <c r="O92" s="198"/>
      <c r="P92" s="198"/>
      <c r="Q92" s="198"/>
      <c r="R92" s="200"/>
      <c r="AK92" s="698"/>
      <c r="AL92" s="366" t="s">
        <v>471</v>
      </c>
      <c r="AM92" s="198">
        <v>0.99965999999999999</v>
      </c>
      <c r="AN92" s="198"/>
      <c r="AO92" s="198"/>
      <c r="AP92" s="198"/>
      <c r="AQ92" s="200"/>
    </row>
    <row r="93" spans="12:43" x14ac:dyDescent="0.25">
      <c r="L93" s="698"/>
      <c r="M93" s="366" t="s">
        <v>480</v>
      </c>
      <c r="N93" s="198">
        <v>504</v>
      </c>
      <c r="O93" s="198" t="s">
        <v>481</v>
      </c>
      <c r="P93" s="198"/>
      <c r="Q93" s="198"/>
      <c r="R93" s="200"/>
      <c r="AK93" s="698"/>
      <c r="AL93" s="366" t="s">
        <v>480</v>
      </c>
      <c r="AM93" s="198">
        <v>504</v>
      </c>
      <c r="AN93" s="198" t="s">
        <v>481</v>
      </c>
      <c r="AO93" s="198"/>
      <c r="AP93" s="198"/>
      <c r="AQ93" s="200"/>
    </row>
    <row r="94" spans="12:43" ht="30" x14ac:dyDescent="0.25">
      <c r="L94" s="698"/>
      <c r="M94" s="366" t="s">
        <v>482</v>
      </c>
      <c r="N94" s="198">
        <v>6</v>
      </c>
      <c r="O94" s="198" t="s">
        <v>71</v>
      </c>
      <c r="P94" s="198"/>
      <c r="Q94" s="198"/>
      <c r="R94" s="200"/>
      <c r="AK94" s="698"/>
      <c r="AL94" s="366" t="s">
        <v>482</v>
      </c>
      <c r="AM94" s="198">
        <v>6</v>
      </c>
      <c r="AN94" s="198" t="s">
        <v>71</v>
      </c>
      <c r="AO94" s="198"/>
      <c r="AP94" s="198"/>
      <c r="AQ94" s="200"/>
    </row>
    <row r="95" spans="12:43" x14ac:dyDescent="0.25">
      <c r="L95" s="698"/>
      <c r="M95" s="366" t="s">
        <v>483</v>
      </c>
      <c r="N95" s="198">
        <v>50</v>
      </c>
      <c r="O95" s="198" t="s">
        <v>117</v>
      </c>
      <c r="P95" s="198"/>
      <c r="Q95" s="198"/>
      <c r="R95" s="200"/>
      <c r="AK95" s="698"/>
      <c r="AL95" s="366" t="s">
        <v>483</v>
      </c>
      <c r="AM95" s="198">
        <v>50</v>
      </c>
      <c r="AN95" s="198" t="s">
        <v>117</v>
      </c>
      <c r="AO95" s="198"/>
      <c r="AP95" s="198"/>
      <c r="AQ95" s="200"/>
    </row>
    <row r="96" spans="12:43" ht="30" x14ac:dyDescent="0.25">
      <c r="L96" s="698"/>
      <c r="M96" s="366" t="s">
        <v>484</v>
      </c>
      <c r="N96" s="198">
        <v>0.58099999999999996</v>
      </c>
      <c r="O96" s="198" t="s">
        <v>71</v>
      </c>
      <c r="P96" s="198"/>
      <c r="Q96" s="198"/>
      <c r="R96" s="200"/>
      <c r="AK96" s="698"/>
      <c r="AL96" s="366" t="s">
        <v>484</v>
      </c>
      <c r="AM96" s="198">
        <v>1.744</v>
      </c>
      <c r="AN96" s="198" t="s">
        <v>71</v>
      </c>
      <c r="AO96" s="198"/>
      <c r="AP96" s="198"/>
      <c r="AQ96" s="200"/>
    </row>
    <row r="97" spans="12:43" x14ac:dyDescent="0.25">
      <c r="L97" s="698"/>
      <c r="M97" s="366" t="s">
        <v>466</v>
      </c>
      <c r="N97" s="198">
        <v>0</v>
      </c>
      <c r="O97" s="198"/>
      <c r="P97" s="198"/>
      <c r="Q97" s="198"/>
      <c r="R97" s="200"/>
      <c r="AK97" s="698"/>
      <c r="AL97" s="366" t="s">
        <v>466</v>
      </c>
      <c r="AM97" s="198">
        <v>0</v>
      </c>
      <c r="AN97" s="198"/>
      <c r="AO97" s="198"/>
      <c r="AP97" s="198"/>
      <c r="AQ97" s="200"/>
    </row>
    <row r="98" spans="12:43" x14ac:dyDescent="0.25">
      <c r="L98" s="698"/>
      <c r="M98" s="366" t="s">
        <v>485</v>
      </c>
      <c r="N98" s="198">
        <v>1.5</v>
      </c>
      <c r="O98" s="198"/>
      <c r="P98" s="198"/>
      <c r="Q98" s="198"/>
      <c r="R98" s="200"/>
      <c r="AK98" s="698"/>
      <c r="AL98" s="366" t="s">
        <v>485</v>
      </c>
      <c r="AM98" s="198">
        <v>1.5</v>
      </c>
      <c r="AN98" s="198"/>
      <c r="AO98" s="198"/>
      <c r="AP98" s="198"/>
      <c r="AQ98" s="200"/>
    </row>
    <row r="99" spans="12:43" x14ac:dyDescent="0.25">
      <c r="L99" s="698"/>
      <c r="M99" s="366" t="s">
        <v>486</v>
      </c>
      <c r="N99" s="198"/>
      <c r="O99" s="198"/>
      <c r="P99" s="198"/>
      <c r="Q99" s="198"/>
      <c r="R99" s="200"/>
      <c r="AK99" s="698"/>
      <c r="AL99" s="366" t="s">
        <v>486</v>
      </c>
      <c r="AM99" s="198"/>
      <c r="AN99" s="198"/>
      <c r="AO99" s="198"/>
      <c r="AP99" s="198"/>
      <c r="AQ99" s="200"/>
    </row>
    <row r="100" spans="12:43" ht="30" x14ac:dyDescent="0.25">
      <c r="L100" s="698"/>
      <c r="M100" s="366" t="s">
        <v>487</v>
      </c>
      <c r="N100" s="198" t="s">
        <v>590</v>
      </c>
      <c r="O100" s="198" t="s">
        <v>445</v>
      </c>
      <c r="P100" s="198">
        <v>-20.3</v>
      </c>
      <c r="Q100" s="198"/>
      <c r="R100" s="200"/>
      <c r="AK100" s="698"/>
      <c r="AL100" s="366" t="s">
        <v>487</v>
      </c>
      <c r="AM100" s="198" t="s">
        <v>598</v>
      </c>
      <c r="AN100" s="198" t="s">
        <v>445</v>
      </c>
      <c r="AO100" s="198">
        <v>-23.2</v>
      </c>
      <c r="AP100" s="198"/>
      <c r="AQ100" s="200"/>
    </row>
    <row r="101" spans="12:43" ht="30" x14ac:dyDescent="0.25">
      <c r="L101" s="698"/>
      <c r="M101" s="366" t="s">
        <v>488</v>
      </c>
      <c r="N101" s="198"/>
      <c r="O101" s="198"/>
      <c r="P101" s="198"/>
      <c r="Q101" s="198"/>
      <c r="R101" s="200"/>
      <c r="AK101" s="698"/>
      <c r="AL101" s="366" t="s">
        <v>488</v>
      </c>
      <c r="AM101" s="198"/>
      <c r="AN101" s="198"/>
      <c r="AO101" s="198"/>
      <c r="AP101" s="198"/>
      <c r="AQ101" s="200"/>
    </row>
    <row r="102" spans="12:43" x14ac:dyDescent="0.25">
      <c r="L102" s="698"/>
      <c r="M102" s="366" t="s">
        <v>444</v>
      </c>
      <c r="N102" s="198">
        <v>50</v>
      </c>
      <c r="O102" s="198" t="s">
        <v>445</v>
      </c>
      <c r="P102" s="198">
        <v>50</v>
      </c>
      <c r="Q102" s="198"/>
      <c r="R102" s="200"/>
      <c r="AK102" s="698"/>
      <c r="AL102" s="366" t="s">
        <v>444</v>
      </c>
      <c r="AM102" s="198">
        <v>50</v>
      </c>
      <c r="AN102" s="198" t="s">
        <v>445</v>
      </c>
      <c r="AO102" s="198">
        <v>50</v>
      </c>
      <c r="AP102" s="198"/>
      <c r="AQ102" s="200"/>
    </row>
    <row r="103" spans="12:43" x14ac:dyDescent="0.25">
      <c r="L103" s="698"/>
      <c r="M103" s="366" t="s">
        <v>451</v>
      </c>
      <c r="N103" s="198" t="s">
        <v>452</v>
      </c>
      <c r="O103" s="198" t="s">
        <v>445</v>
      </c>
      <c r="P103" s="198"/>
      <c r="Q103" s="198"/>
      <c r="R103" s="200"/>
      <c r="AK103" s="698"/>
      <c r="AL103" s="366" t="s">
        <v>451</v>
      </c>
      <c r="AM103" s="198" t="s">
        <v>452</v>
      </c>
      <c r="AN103" s="198" t="s">
        <v>445</v>
      </c>
      <c r="AO103" s="198"/>
      <c r="AP103" s="198"/>
      <c r="AQ103" s="200"/>
    </row>
    <row r="104" spans="12:43" ht="30" x14ac:dyDescent="0.25">
      <c r="L104" s="698"/>
      <c r="M104" s="366" t="s">
        <v>489</v>
      </c>
      <c r="N104" s="198">
        <v>156</v>
      </c>
      <c r="O104" s="198" t="s">
        <v>445</v>
      </c>
      <c r="P104" s="198"/>
      <c r="Q104" s="198"/>
      <c r="R104" s="200"/>
      <c r="AK104" s="698"/>
      <c r="AL104" s="366" t="s">
        <v>489</v>
      </c>
      <c r="AM104" s="198">
        <v>150.19999999999999</v>
      </c>
      <c r="AN104" s="198" t="s">
        <v>445</v>
      </c>
      <c r="AO104" s="198"/>
      <c r="AP104" s="198"/>
      <c r="AQ104" s="200"/>
    </row>
    <row r="105" spans="12:43" ht="30" x14ac:dyDescent="0.25">
      <c r="L105" s="698"/>
      <c r="M105" s="366" t="s">
        <v>490</v>
      </c>
      <c r="N105" s="198"/>
      <c r="O105" s="198"/>
      <c r="P105" s="198"/>
      <c r="Q105" s="198"/>
      <c r="R105" s="200"/>
      <c r="AK105" s="698"/>
      <c r="AL105" s="366" t="s">
        <v>490</v>
      </c>
      <c r="AM105" s="198"/>
      <c r="AN105" s="198"/>
      <c r="AO105" s="198"/>
      <c r="AP105" s="198"/>
      <c r="AQ105" s="200"/>
    </row>
    <row r="106" spans="12:43" x14ac:dyDescent="0.25">
      <c r="L106" s="698"/>
      <c r="M106" s="366" t="s">
        <v>456</v>
      </c>
      <c r="N106" s="198">
        <v>108.2</v>
      </c>
      <c r="O106" s="198" t="s">
        <v>445</v>
      </c>
      <c r="P106" s="198">
        <v>108.2</v>
      </c>
      <c r="Q106" s="198"/>
      <c r="R106" s="200"/>
      <c r="AK106" s="698"/>
      <c r="AL106" s="366" t="s">
        <v>456</v>
      </c>
      <c r="AM106" s="198">
        <v>99.1</v>
      </c>
      <c r="AN106" s="198" t="s">
        <v>445</v>
      </c>
      <c r="AO106" s="198">
        <v>99.1</v>
      </c>
      <c r="AP106" s="198"/>
      <c r="AQ106" s="200"/>
    </row>
    <row r="107" spans="12:43" ht="30" x14ac:dyDescent="0.25">
      <c r="L107" s="698"/>
      <c r="M107" s="366" t="s">
        <v>491</v>
      </c>
      <c r="N107" s="198" t="s">
        <v>492</v>
      </c>
      <c r="O107" s="198"/>
      <c r="P107" s="198"/>
      <c r="Q107" s="198"/>
      <c r="R107" s="200"/>
      <c r="AK107" s="698"/>
      <c r="AL107" s="366" t="s">
        <v>491</v>
      </c>
      <c r="AM107" s="198" t="s">
        <v>492</v>
      </c>
      <c r="AN107" s="198"/>
      <c r="AO107" s="198"/>
      <c r="AP107" s="198"/>
      <c r="AQ107" s="200"/>
    </row>
    <row r="108" spans="12:43" x14ac:dyDescent="0.25">
      <c r="L108" s="698"/>
      <c r="M108" s="366" t="s">
        <v>493</v>
      </c>
      <c r="N108" s="198"/>
      <c r="O108" s="198"/>
      <c r="P108" s="198"/>
      <c r="Q108" s="198" t="s">
        <v>442</v>
      </c>
      <c r="R108" s="200"/>
      <c r="AK108" s="698"/>
      <c r="AL108" s="366" t="s">
        <v>493</v>
      </c>
      <c r="AM108" s="198"/>
      <c r="AN108" s="198"/>
      <c r="AO108" s="198"/>
      <c r="AP108" s="198" t="s">
        <v>442</v>
      </c>
      <c r="AQ108" s="200"/>
    </row>
    <row r="109" spans="12:43" ht="30" x14ac:dyDescent="0.25">
      <c r="L109" s="698"/>
      <c r="M109" s="366" t="s">
        <v>494</v>
      </c>
      <c r="N109" s="373">
        <v>16</v>
      </c>
      <c r="O109" s="373" t="s">
        <v>445</v>
      </c>
      <c r="P109" s="373">
        <v>4.7</v>
      </c>
      <c r="Q109" s="373" t="s">
        <v>442</v>
      </c>
      <c r="R109" s="200">
        <v>70.83</v>
      </c>
      <c r="AK109" s="698"/>
      <c r="AL109" s="366" t="s">
        <v>494</v>
      </c>
      <c r="AM109" s="373">
        <v>16</v>
      </c>
      <c r="AN109" s="373" t="s">
        <v>445</v>
      </c>
      <c r="AO109" s="373">
        <v>1.8</v>
      </c>
      <c r="AP109" s="373" t="s">
        <v>442</v>
      </c>
      <c r="AQ109" s="200">
        <v>89.04</v>
      </c>
    </row>
    <row r="110" spans="12:43" ht="45" x14ac:dyDescent="0.25">
      <c r="L110" s="698"/>
      <c r="M110" s="366" t="s">
        <v>495</v>
      </c>
      <c r="N110" s="373">
        <v>80</v>
      </c>
      <c r="O110" s="373" t="s">
        <v>475</v>
      </c>
      <c r="P110" s="373">
        <v>16.920000000000002</v>
      </c>
      <c r="Q110" s="373" t="s">
        <v>442</v>
      </c>
      <c r="R110" s="200">
        <v>78.849999999999994</v>
      </c>
      <c r="AK110" s="698"/>
      <c r="AL110" s="366" t="s">
        <v>495</v>
      </c>
      <c r="AM110" s="373">
        <v>80</v>
      </c>
      <c r="AN110" s="373" t="s">
        <v>475</v>
      </c>
      <c r="AO110" s="373">
        <v>19.54</v>
      </c>
      <c r="AP110" s="373" t="s">
        <v>442</v>
      </c>
      <c r="AQ110" s="200">
        <v>75.58</v>
      </c>
    </row>
    <row r="111" spans="12:43" x14ac:dyDescent="0.25">
      <c r="L111" s="698"/>
      <c r="M111" s="366" t="s">
        <v>496</v>
      </c>
      <c r="N111" s="373">
        <v>100</v>
      </c>
      <c r="O111" s="373" t="s">
        <v>475</v>
      </c>
      <c r="P111" s="373">
        <v>120.43</v>
      </c>
      <c r="Q111" s="373" t="s">
        <v>442</v>
      </c>
      <c r="R111" s="200">
        <v>20.43</v>
      </c>
      <c r="AK111" s="698"/>
      <c r="AL111" s="366" t="s">
        <v>496</v>
      </c>
      <c r="AM111" s="373">
        <v>100</v>
      </c>
      <c r="AN111" s="373" t="s">
        <v>475</v>
      </c>
      <c r="AO111" s="373">
        <v>227.48</v>
      </c>
      <c r="AP111" s="373" t="s">
        <v>442</v>
      </c>
      <c r="AQ111" s="200">
        <v>127.48</v>
      </c>
    </row>
    <row r="112" spans="12:43" x14ac:dyDescent="0.25">
      <c r="L112" s="698"/>
      <c r="M112" s="366" t="s">
        <v>457</v>
      </c>
      <c r="N112" s="198"/>
      <c r="O112" s="198"/>
      <c r="P112" s="198"/>
      <c r="Q112" s="198"/>
      <c r="R112" s="200"/>
      <c r="AK112" s="698"/>
      <c r="AL112" s="366" t="s">
        <v>457</v>
      </c>
      <c r="AM112" s="198"/>
      <c r="AN112" s="198"/>
      <c r="AO112" s="198"/>
      <c r="AP112" s="198"/>
      <c r="AQ112" s="200"/>
    </row>
    <row r="113" spans="12:43" x14ac:dyDescent="0.25">
      <c r="L113" s="698"/>
      <c r="M113" s="366" t="s">
        <v>497</v>
      </c>
      <c r="N113" s="198"/>
      <c r="O113" s="198" t="s">
        <v>117</v>
      </c>
      <c r="P113" s="198">
        <v>144.649</v>
      </c>
      <c r="Q113" s="198"/>
      <c r="R113" s="200"/>
      <c r="AK113" s="698"/>
      <c r="AL113" s="366" t="s">
        <v>497</v>
      </c>
      <c r="AM113" s="198"/>
      <c r="AN113" s="198" t="s">
        <v>117</v>
      </c>
      <c r="AO113" s="198">
        <v>151.11000000000001</v>
      </c>
      <c r="AP113" s="198"/>
      <c r="AQ113" s="200"/>
    </row>
    <row r="114" spans="12:43" ht="30" x14ac:dyDescent="0.25">
      <c r="L114" s="698"/>
      <c r="M114" s="366" t="s">
        <v>498</v>
      </c>
      <c r="N114" s="198"/>
      <c r="O114" s="198" t="s">
        <v>71</v>
      </c>
      <c r="P114" s="198">
        <v>4.0540000000000003</v>
      </c>
      <c r="Q114" s="198"/>
      <c r="R114" s="200"/>
      <c r="AK114" s="698"/>
      <c r="AL114" s="366" t="s">
        <v>498</v>
      </c>
      <c r="AM114" s="198"/>
      <c r="AN114" s="198" t="s">
        <v>71</v>
      </c>
      <c r="AO114" s="198">
        <v>6.7119999999999997</v>
      </c>
      <c r="AP114" s="198"/>
      <c r="AQ114" s="200"/>
    </row>
    <row r="115" spans="12:43" x14ac:dyDescent="0.25">
      <c r="L115" s="698"/>
      <c r="M115" s="366" t="s">
        <v>499</v>
      </c>
      <c r="N115" s="198"/>
      <c r="O115" s="198" t="s">
        <v>117</v>
      </c>
      <c r="P115" s="198">
        <v>194.649</v>
      </c>
      <c r="Q115" s="198"/>
      <c r="R115" s="200"/>
      <c r="AK115" s="698"/>
      <c r="AL115" s="366" t="s">
        <v>499</v>
      </c>
      <c r="AM115" s="198"/>
      <c r="AN115" s="198" t="s">
        <v>117</v>
      </c>
      <c r="AO115" s="198">
        <v>201.11</v>
      </c>
      <c r="AP115" s="198"/>
      <c r="AQ115" s="200"/>
    </row>
    <row r="116" spans="12:43" ht="30" x14ac:dyDescent="0.25">
      <c r="L116" s="698"/>
      <c r="M116" s="366" t="s">
        <v>500</v>
      </c>
      <c r="N116" s="198"/>
      <c r="O116" s="198" t="s">
        <v>71</v>
      </c>
      <c r="P116" s="198">
        <v>4.5540000000000003</v>
      </c>
      <c r="Q116" s="198"/>
      <c r="R116" s="200"/>
      <c r="AK116" s="698"/>
      <c r="AL116" s="366" t="s">
        <v>500</v>
      </c>
      <c r="AM116" s="198"/>
      <c r="AN116" s="198" t="s">
        <v>71</v>
      </c>
      <c r="AO116" s="198">
        <v>6.5350000000000001</v>
      </c>
      <c r="AP116" s="198"/>
      <c r="AQ116" s="200"/>
    </row>
    <row r="117" spans="12:43" x14ac:dyDescent="0.25">
      <c r="L117" s="698"/>
      <c r="M117" s="366" t="s">
        <v>468</v>
      </c>
      <c r="N117" s="198"/>
      <c r="O117" s="198" t="s">
        <v>71</v>
      </c>
      <c r="P117" s="198">
        <v>0.36499999999999999</v>
      </c>
      <c r="Q117" s="198"/>
      <c r="R117" s="200"/>
      <c r="AK117" s="698"/>
      <c r="AL117" s="366" t="s">
        <v>468</v>
      </c>
      <c r="AM117" s="198"/>
      <c r="AN117" s="198" t="s">
        <v>71</v>
      </c>
      <c r="AO117" s="198">
        <v>0.34100000000000003</v>
      </c>
      <c r="AP117" s="198"/>
      <c r="AQ117" s="200"/>
    </row>
    <row r="118" spans="12:43" x14ac:dyDescent="0.25">
      <c r="L118" s="698"/>
      <c r="M118" s="366" t="s">
        <v>501</v>
      </c>
      <c r="N118" s="198"/>
      <c r="O118" s="198" t="s">
        <v>445</v>
      </c>
      <c r="P118" s="198">
        <v>4.7</v>
      </c>
      <c r="Q118" s="198"/>
      <c r="R118" s="200"/>
      <c r="AK118" s="698"/>
      <c r="AL118" s="366" t="s">
        <v>501</v>
      </c>
      <c r="AM118" s="198"/>
      <c r="AN118" s="198" t="s">
        <v>445</v>
      </c>
      <c r="AO118" s="198">
        <v>1.8</v>
      </c>
      <c r="AP118" s="198"/>
      <c r="AQ118" s="200"/>
    </row>
    <row r="119" spans="12:43" x14ac:dyDescent="0.25">
      <c r="L119" s="698"/>
      <c r="M119" s="366" t="s">
        <v>502</v>
      </c>
      <c r="N119" s="198"/>
      <c r="O119" s="198" t="s">
        <v>445</v>
      </c>
      <c r="P119" s="198">
        <v>7.2</v>
      </c>
      <c r="Q119" s="198"/>
      <c r="R119" s="200"/>
      <c r="AK119" s="698"/>
      <c r="AL119" s="366" t="s">
        <v>502</v>
      </c>
      <c r="AM119" s="198"/>
      <c r="AN119" s="198" t="s">
        <v>445</v>
      </c>
      <c r="AO119" s="198">
        <v>2.6</v>
      </c>
      <c r="AP119" s="198"/>
      <c r="AQ119" s="200"/>
    </row>
    <row r="120" spans="12:43" x14ac:dyDescent="0.25">
      <c r="L120" s="698"/>
      <c r="M120" s="366" t="s">
        <v>503</v>
      </c>
      <c r="N120" s="198"/>
      <c r="O120" s="198" t="s">
        <v>445</v>
      </c>
      <c r="P120" s="198">
        <v>27.6</v>
      </c>
      <c r="Q120" s="198"/>
      <c r="R120" s="200"/>
      <c r="AK120" s="698"/>
      <c r="AL120" s="366" t="s">
        <v>503</v>
      </c>
      <c r="AM120" s="198"/>
      <c r="AN120" s="198" t="s">
        <v>445</v>
      </c>
      <c r="AO120" s="198">
        <v>9</v>
      </c>
      <c r="AP120" s="198"/>
      <c r="AQ120" s="200"/>
    </row>
    <row r="121" spans="12:43" x14ac:dyDescent="0.25">
      <c r="L121" s="698"/>
      <c r="M121" s="366" t="s">
        <v>504</v>
      </c>
      <c r="N121" s="198"/>
      <c r="O121" s="198" t="s">
        <v>449</v>
      </c>
      <c r="P121" s="198">
        <v>55.905500000000004</v>
      </c>
      <c r="Q121" s="198"/>
      <c r="R121" s="200"/>
      <c r="AK121" s="698"/>
      <c r="AL121" s="366" t="s">
        <v>504</v>
      </c>
      <c r="AM121" s="198"/>
      <c r="AN121" s="198" t="s">
        <v>449</v>
      </c>
      <c r="AO121" s="198">
        <v>174.1199</v>
      </c>
      <c r="AP121" s="198"/>
      <c r="AQ121" s="200"/>
    </row>
    <row r="122" spans="12:43" x14ac:dyDescent="0.25">
      <c r="L122" s="698"/>
      <c r="M122" s="366" t="s">
        <v>505</v>
      </c>
      <c r="N122" s="198"/>
      <c r="O122" s="198" t="s">
        <v>449</v>
      </c>
      <c r="P122" s="198">
        <v>23.4343</v>
      </c>
      <c r="Q122" s="198"/>
      <c r="R122" s="200"/>
      <c r="AK122" s="698"/>
      <c r="AL122" s="366" t="s">
        <v>505</v>
      </c>
      <c r="AM122" s="198"/>
      <c r="AN122" s="198" t="s">
        <v>449</v>
      </c>
      <c r="AO122" s="198">
        <v>24.253900000000002</v>
      </c>
      <c r="AP122" s="198"/>
      <c r="AQ122" s="200"/>
    </row>
    <row r="123" spans="12:43" x14ac:dyDescent="0.25">
      <c r="L123" s="698"/>
      <c r="M123" s="366" t="s">
        <v>506</v>
      </c>
      <c r="N123" s="198"/>
      <c r="O123" s="198" t="s">
        <v>449</v>
      </c>
      <c r="P123" s="198">
        <v>32.471200000000003</v>
      </c>
      <c r="Q123" s="198"/>
      <c r="R123" s="200"/>
      <c r="AK123" s="698"/>
      <c r="AL123" s="366" t="s">
        <v>506</v>
      </c>
      <c r="AM123" s="198"/>
      <c r="AN123" s="198" t="s">
        <v>449</v>
      </c>
      <c r="AO123" s="198">
        <v>149.86600000000001</v>
      </c>
      <c r="AP123" s="198"/>
      <c r="AQ123" s="200"/>
    </row>
    <row r="124" spans="12:43" x14ac:dyDescent="0.25">
      <c r="L124" s="698"/>
      <c r="M124" s="366" t="s">
        <v>507</v>
      </c>
      <c r="N124" s="198"/>
      <c r="O124" s="198" t="s">
        <v>449</v>
      </c>
      <c r="P124" s="198">
        <v>-11.901199999999999</v>
      </c>
      <c r="Q124" s="198"/>
      <c r="R124" s="200"/>
      <c r="AK124" s="698"/>
      <c r="AL124" s="366" t="s">
        <v>507</v>
      </c>
      <c r="AM124" s="198"/>
      <c r="AN124" s="198" t="s">
        <v>449</v>
      </c>
      <c r="AO124" s="198">
        <v>-52.638100000000001</v>
      </c>
      <c r="AP124" s="198"/>
      <c r="AQ124" s="200"/>
    </row>
    <row r="125" spans="12:43" x14ac:dyDescent="0.25">
      <c r="L125" s="698"/>
      <c r="M125" s="366" t="s">
        <v>508</v>
      </c>
      <c r="N125" s="198"/>
      <c r="O125" s="198" t="s">
        <v>449</v>
      </c>
      <c r="P125" s="198">
        <v>15.062099999999999</v>
      </c>
      <c r="Q125" s="198"/>
      <c r="R125" s="200"/>
      <c r="AK125" s="698"/>
      <c r="AL125" s="366" t="s">
        <v>508</v>
      </c>
      <c r="AM125" s="198"/>
      <c r="AN125" s="198" t="s">
        <v>449</v>
      </c>
      <c r="AO125" s="198">
        <v>13.241899999999999</v>
      </c>
      <c r="AP125" s="198"/>
      <c r="AQ125" s="200"/>
    </row>
    <row r="126" spans="12:43" ht="15.75" thickBot="1" x14ac:dyDescent="0.3">
      <c r="L126" s="699"/>
      <c r="M126" s="370" t="s">
        <v>509</v>
      </c>
      <c r="N126" s="371"/>
      <c r="O126" s="371" t="s">
        <v>449</v>
      </c>
      <c r="P126" s="371">
        <v>26.9633</v>
      </c>
      <c r="Q126" s="371"/>
      <c r="R126" s="372"/>
      <c r="AK126" s="699"/>
      <c r="AL126" s="370" t="s">
        <v>509</v>
      </c>
      <c r="AM126" s="371"/>
      <c r="AN126" s="371" t="s">
        <v>449</v>
      </c>
      <c r="AO126" s="371">
        <v>65.88</v>
      </c>
      <c r="AP126" s="371"/>
      <c r="AQ126" s="372"/>
    </row>
  </sheetData>
  <mergeCells count="39">
    <mergeCell ref="L79:L88"/>
    <mergeCell ref="L90:L126"/>
    <mergeCell ref="L34:L41"/>
    <mergeCell ref="L43:L50"/>
    <mergeCell ref="L52:L60"/>
    <mergeCell ref="L62:L63"/>
    <mergeCell ref="L65:L67"/>
    <mergeCell ref="L69:L77"/>
    <mergeCell ref="L26:L32"/>
    <mergeCell ref="B6:C6"/>
    <mergeCell ref="M6:AI7"/>
    <mergeCell ref="B7:C7"/>
    <mergeCell ref="B8:C8"/>
    <mergeCell ref="M8:M9"/>
    <mergeCell ref="N8:AI8"/>
    <mergeCell ref="B9:C9"/>
    <mergeCell ref="B10:C10"/>
    <mergeCell ref="B11:C11"/>
    <mergeCell ref="B12:C12"/>
    <mergeCell ref="B13:C13"/>
    <mergeCell ref="B14:B16"/>
    <mergeCell ref="B2:J2"/>
    <mergeCell ref="B3:C5"/>
    <mergeCell ref="D3:F5"/>
    <mergeCell ref="G3:J3"/>
    <mergeCell ref="G4:H4"/>
    <mergeCell ref="I4:J4"/>
    <mergeCell ref="AL6:BH7"/>
    <mergeCell ref="AL8:AL9"/>
    <mergeCell ref="AM8:BH8"/>
    <mergeCell ref="AK26:AK32"/>
    <mergeCell ref="AK34:AK41"/>
    <mergeCell ref="AK79:AK88"/>
    <mergeCell ref="AK90:AK126"/>
    <mergeCell ref="AK43:AK50"/>
    <mergeCell ref="AK52:AK60"/>
    <mergeCell ref="AK62:AK63"/>
    <mergeCell ref="AK65:AK67"/>
    <mergeCell ref="AK69:AK7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45D45-61FD-42EC-8D4B-76E0566E22B6}">
  <sheetPr>
    <tabColor rgb="FF92D050"/>
  </sheetPr>
  <dimension ref="B1:BH126"/>
  <sheetViews>
    <sheetView zoomScale="85" zoomScaleNormal="85" workbookViewId="0">
      <selection activeCell="L12" sqref="L12"/>
    </sheetView>
  </sheetViews>
  <sheetFormatPr defaultColWidth="8.85546875" defaultRowHeight="15" x14ac:dyDescent="0.25"/>
  <cols>
    <col min="1" max="1" width="8.85546875" style="245"/>
    <col min="2" max="2" width="9.7109375" style="198" customWidth="1"/>
    <col min="3" max="3" width="25.140625" style="198" customWidth="1"/>
    <col min="4" max="4" width="22.42578125" style="336" bestFit="1" customWidth="1"/>
    <col min="5" max="5" width="7" style="350" bestFit="1" customWidth="1"/>
    <col min="6" max="6" width="6" style="336" bestFit="1" customWidth="1"/>
    <col min="7" max="7" width="7.5703125" style="245" bestFit="1" customWidth="1"/>
    <col min="8" max="8" width="14.42578125" style="245" customWidth="1"/>
    <col min="9" max="9" width="7.5703125" style="245" bestFit="1" customWidth="1"/>
    <col min="10" max="10" width="14.42578125" style="245" customWidth="1"/>
    <col min="11" max="11" width="8.85546875" style="245"/>
    <col min="12" max="12" width="25.42578125" style="378" customWidth="1"/>
    <col min="13" max="13" width="38.7109375" style="361" customWidth="1"/>
    <col min="14" max="36" width="8.85546875" style="245"/>
    <col min="37" max="37" width="25.42578125" style="378" customWidth="1"/>
    <col min="38" max="38" width="38.7109375" style="361" customWidth="1"/>
    <col min="39" max="16384" width="8.85546875" style="245"/>
  </cols>
  <sheetData>
    <row r="1" spans="2:60" ht="15.75" thickBot="1" x14ac:dyDescent="0.3"/>
    <row r="2" spans="2:60" x14ac:dyDescent="0.25">
      <c r="B2" s="719" t="s">
        <v>580</v>
      </c>
      <c r="C2" s="708"/>
      <c r="D2" s="708"/>
      <c r="E2" s="708"/>
      <c r="F2" s="708"/>
      <c r="G2" s="708"/>
      <c r="H2" s="708"/>
      <c r="I2" s="708"/>
      <c r="J2" s="709"/>
    </row>
    <row r="3" spans="2:60" x14ac:dyDescent="0.25">
      <c r="B3" s="720" t="s">
        <v>519</v>
      </c>
      <c r="C3" s="655"/>
      <c r="D3" s="725" t="s">
        <v>510</v>
      </c>
      <c r="E3" s="726"/>
      <c r="F3" s="727"/>
      <c r="G3" s="601" t="s">
        <v>542</v>
      </c>
      <c r="H3" s="734"/>
      <c r="I3" s="734"/>
      <c r="J3" s="641"/>
    </row>
    <row r="4" spans="2:60" ht="14.45" customHeight="1" x14ac:dyDescent="0.25">
      <c r="B4" s="721"/>
      <c r="C4" s="722"/>
      <c r="D4" s="728"/>
      <c r="E4" s="729"/>
      <c r="F4" s="730"/>
      <c r="G4" s="603" t="s">
        <v>15</v>
      </c>
      <c r="H4" s="603"/>
      <c r="I4" s="603" t="s">
        <v>16</v>
      </c>
      <c r="J4" s="711"/>
    </row>
    <row r="5" spans="2:60" ht="15.75" thickBot="1" x14ac:dyDescent="0.3">
      <c r="B5" s="723"/>
      <c r="C5" s="724"/>
      <c r="D5" s="731"/>
      <c r="E5" s="732"/>
      <c r="F5" s="733"/>
      <c r="G5" s="332" t="s">
        <v>397</v>
      </c>
      <c r="H5" s="332" t="s">
        <v>511</v>
      </c>
      <c r="I5" s="332" t="s">
        <v>397</v>
      </c>
      <c r="J5" s="360" t="s">
        <v>511</v>
      </c>
      <c r="L5" s="379"/>
      <c r="M5" s="362"/>
      <c r="N5" s="321"/>
      <c r="O5" s="321"/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21"/>
      <c r="AA5" s="321"/>
      <c r="AB5" s="321"/>
      <c r="AC5" s="321"/>
      <c r="AD5" s="321"/>
      <c r="AE5" s="321"/>
      <c r="AF5" s="321"/>
      <c r="AG5" s="321"/>
      <c r="AH5" s="321"/>
      <c r="AI5" s="321"/>
      <c r="AK5" s="379"/>
      <c r="AL5" s="362"/>
      <c r="AM5" s="321"/>
      <c r="AN5" s="321"/>
      <c r="AO5" s="321"/>
      <c r="AP5" s="321"/>
      <c r="AQ5" s="321"/>
      <c r="AR5" s="321"/>
      <c r="AS5" s="321"/>
      <c r="AT5" s="321"/>
      <c r="AU5" s="321"/>
      <c r="AV5" s="321"/>
      <c r="AW5" s="321"/>
      <c r="AX5" s="321"/>
      <c r="AY5" s="321"/>
      <c r="AZ5" s="321"/>
      <c r="BA5" s="321"/>
      <c r="BB5" s="321"/>
      <c r="BC5" s="321"/>
      <c r="BD5" s="321"/>
      <c r="BE5" s="321"/>
      <c r="BF5" s="321"/>
      <c r="BG5" s="321"/>
      <c r="BH5" s="321"/>
    </row>
    <row r="6" spans="2:60" x14ac:dyDescent="0.25">
      <c r="B6" s="714" t="s">
        <v>512</v>
      </c>
      <c r="C6" s="715"/>
      <c r="D6" s="387" t="s">
        <v>517</v>
      </c>
      <c r="E6" s="388">
        <f>N32</f>
        <v>3.1513</v>
      </c>
      <c r="F6" s="389" t="s">
        <v>449</v>
      </c>
      <c r="G6" s="340">
        <f>P32</f>
        <v>33.807400000000001</v>
      </c>
      <c r="H6" s="340" t="str">
        <f>IF(G6&gt;=$E6,"PASS","FAIL")</f>
        <v>PASS</v>
      </c>
      <c r="I6" s="340">
        <f>AO32</f>
        <v>87.458600000000004</v>
      </c>
      <c r="J6" s="341" t="str">
        <f>IF(I6&gt;=$E6,"PASS","FAIL")</f>
        <v>PASS</v>
      </c>
      <c r="L6" s="379"/>
      <c r="M6" s="700" t="s">
        <v>541</v>
      </c>
      <c r="N6" s="701"/>
      <c r="O6" s="701"/>
      <c r="P6" s="701"/>
      <c r="Q6" s="701"/>
      <c r="R6" s="701"/>
      <c r="S6" s="701"/>
      <c r="T6" s="701"/>
      <c r="U6" s="701"/>
      <c r="V6" s="701"/>
      <c r="W6" s="701"/>
      <c r="X6" s="701"/>
      <c r="Y6" s="701"/>
      <c r="Z6" s="701"/>
      <c r="AA6" s="701"/>
      <c r="AB6" s="701"/>
      <c r="AC6" s="701"/>
      <c r="AD6" s="701"/>
      <c r="AE6" s="701"/>
      <c r="AF6" s="701"/>
      <c r="AG6" s="701"/>
      <c r="AH6" s="701"/>
      <c r="AI6" s="702"/>
      <c r="AK6" s="379"/>
      <c r="AL6" s="700" t="s">
        <v>595</v>
      </c>
      <c r="AM6" s="701"/>
      <c r="AN6" s="701"/>
      <c r="AO6" s="701"/>
      <c r="AP6" s="701"/>
      <c r="AQ6" s="701"/>
      <c r="AR6" s="701"/>
      <c r="AS6" s="701"/>
      <c r="AT6" s="701"/>
      <c r="AU6" s="701"/>
      <c r="AV6" s="701"/>
      <c r="AW6" s="701"/>
      <c r="AX6" s="701"/>
      <c r="AY6" s="701"/>
      <c r="AZ6" s="701"/>
      <c r="BA6" s="701"/>
      <c r="BB6" s="701"/>
      <c r="BC6" s="701"/>
      <c r="BD6" s="701"/>
      <c r="BE6" s="701"/>
      <c r="BF6" s="701"/>
      <c r="BG6" s="701"/>
      <c r="BH6" s="702"/>
    </row>
    <row r="7" spans="2:60" ht="15.75" thickBot="1" x14ac:dyDescent="0.3">
      <c r="B7" s="712" t="s">
        <v>513</v>
      </c>
      <c r="C7" s="716"/>
      <c r="D7" s="354" t="s">
        <v>517</v>
      </c>
      <c r="E7" s="355">
        <f>N41</f>
        <v>5.1566000000000001</v>
      </c>
      <c r="F7" s="356" t="s">
        <v>449</v>
      </c>
      <c r="G7" s="202">
        <f>P41</f>
        <v>54.125700000000002</v>
      </c>
      <c r="H7" s="340" t="str">
        <f t="shared" ref="H7:J11" si="0">IF(G7&gt;=$E7,"PASS","FAIL")</f>
        <v>PASS</v>
      </c>
      <c r="I7" s="202">
        <f>AO41</f>
        <v>135.6379</v>
      </c>
      <c r="J7" s="341" t="str">
        <f t="shared" si="0"/>
        <v>PASS</v>
      </c>
      <c r="L7" s="379"/>
      <c r="M7" s="703"/>
      <c r="N7" s="704"/>
      <c r="O7" s="704"/>
      <c r="P7" s="704"/>
      <c r="Q7" s="704"/>
      <c r="R7" s="704"/>
      <c r="S7" s="704"/>
      <c r="T7" s="704"/>
      <c r="U7" s="704"/>
      <c r="V7" s="704"/>
      <c r="W7" s="704"/>
      <c r="X7" s="704"/>
      <c r="Y7" s="704"/>
      <c r="Z7" s="704"/>
      <c r="AA7" s="704"/>
      <c r="AB7" s="704"/>
      <c r="AC7" s="704"/>
      <c r="AD7" s="704"/>
      <c r="AE7" s="704"/>
      <c r="AF7" s="704"/>
      <c r="AG7" s="704"/>
      <c r="AH7" s="704"/>
      <c r="AI7" s="705"/>
      <c r="AK7" s="379"/>
      <c r="AL7" s="703"/>
      <c r="AM7" s="704"/>
      <c r="AN7" s="704"/>
      <c r="AO7" s="704"/>
      <c r="AP7" s="704"/>
      <c r="AQ7" s="704"/>
      <c r="AR7" s="704"/>
      <c r="AS7" s="704"/>
      <c r="AT7" s="704"/>
      <c r="AU7" s="704"/>
      <c r="AV7" s="704"/>
      <c r="AW7" s="704"/>
      <c r="AX7" s="704"/>
      <c r="AY7" s="704"/>
      <c r="AZ7" s="704"/>
      <c r="BA7" s="704"/>
      <c r="BB7" s="704"/>
      <c r="BC7" s="704"/>
      <c r="BD7" s="704"/>
      <c r="BE7" s="704"/>
      <c r="BF7" s="704"/>
      <c r="BG7" s="704"/>
      <c r="BH7" s="705"/>
    </row>
    <row r="8" spans="2:60" x14ac:dyDescent="0.25">
      <c r="B8" s="712" t="s">
        <v>514</v>
      </c>
      <c r="C8" s="716"/>
      <c r="D8" s="354" t="s">
        <v>517</v>
      </c>
      <c r="E8" s="355">
        <f>N50</f>
        <v>1.7189000000000001</v>
      </c>
      <c r="F8" s="356" t="s">
        <v>449</v>
      </c>
      <c r="G8" s="202">
        <f>P50</f>
        <v>20.318300000000001</v>
      </c>
      <c r="H8" s="340" t="str">
        <f t="shared" si="0"/>
        <v>PASS</v>
      </c>
      <c r="I8" s="202">
        <f>AO50</f>
        <v>48.179299999999998</v>
      </c>
      <c r="J8" s="341" t="str">
        <f t="shared" si="0"/>
        <v>PASS</v>
      </c>
      <c r="M8" s="706" t="s">
        <v>581</v>
      </c>
      <c r="N8" s="708" t="s">
        <v>540</v>
      </c>
      <c r="O8" s="708"/>
      <c r="P8" s="708"/>
      <c r="Q8" s="708"/>
      <c r="R8" s="708"/>
      <c r="S8" s="708"/>
      <c r="T8" s="708"/>
      <c r="U8" s="708"/>
      <c r="V8" s="708"/>
      <c r="W8" s="708"/>
      <c r="X8" s="708"/>
      <c r="Y8" s="708"/>
      <c r="Z8" s="708"/>
      <c r="AA8" s="708"/>
      <c r="AB8" s="708"/>
      <c r="AC8" s="708"/>
      <c r="AD8" s="708"/>
      <c r="AE8" s="708"/>
      <c r="AF8" s="708"/>
      <c r="AG8" s="708"/>
      <c r="AH8" s="708"/>
      <c r="AI8" s="709"/>
      <c r="AL8" s="706" t="s">
        <v>543</v>
      </c>
      <c r="AM8" s="708" t="s">
        <v>540</v>
      </c>
      <c r="AN8" s="708"/>
      <c r="AO8" s="708"/>
      <c r="AP8" s="708"/>
      <c r="AQ8" s="708"/>
      <c r="AR8" s="708"/>
      <c r="AS8" s="708"/>
      <c r="AT8" s="708"/>
      <c r="AU8" s="708"/>
      <c r="AV8" s="708"/>
      <c r="AW8" s="708"/>
      <c r="AX8" s="708"/>
      <c r="AY8" s="708"/>
      <c r="AZ8" s="708"/>
      <c r="BA8" s="708"/>
      <c r="BB8" s="708"/>
      <c r="BC8" s="708"/>
      <c r="BD8" s="708"/>
      <c r="BE8" s="708"/>
      <c r="BF8" s="708"/>
      <c r="BG8" s="708"/>
      <c r="BH8" s="709"/>
    </row>
    <row r="9" spans="2:60" ht="15.75" thickBot="1" x14ac:dyDescent="0.3">
      <c r="B9" s="717" t="s">
        <v>515</v>
      </c>
      <c r="C9" s="718"/>
      <c r="D9" s="354" t="s">
        <v>517</v>
      </c>
      <c r="E9" s="355">
        <f>N58</f>
        <v>0.2</v>
      </c>
      <c r="F9" s="356" t="s">
        <v>449</v>
      </c>
      <c r="G9" s="202">
        <f>P58</f>
        <v>3.3479999999999999</v>
      </c>
      <c r="H9" s="340" t="str">
        <f t="shared" si="0"/>
        <v>PASS</v>
      </c>
      <c r="I9" s="202">
        <f>AO58</f>
        <v>5.2439999999999998</v>
      </c>
      <c r="J9" s="341" t="str">
        <f t="shared" si="0"/>
        <v>PASS</v>
      </c>
      <c r="M9" s="707"/>
      <c r="N9" s="332">
        <v>-30</v>
      </c>
      <c r="O9" s="332">
        <v>-20</v>
      </c>
      <c r="P9" s="332">
        <v>-10</v>
      </c>
      <c r="Q9" s="332">
        <v>0</v>
      </c>
      <c r="R9" s="332">
        <v>10</v>
      </c>
      <c r="S9" s="332">
        <v>20</v>
      </c>
      <c r="T9" s="332">
        <v>30</v>
      </c>
      <c r="U9" s="332">
        <v>40</v>
      </c>
      <c r="V9" s="332">
        <v>50</v>
      </c>
      <c r="W9" s="332">
        <v>60</v>
      </c>
      <c r="X9" s="332">
        <v>70</v>
      </c>
      <c r="Y9" s="332">
        <v>80</v>
      </c>
      <c r="Z9" s="332">
        <v>90</v>
      </c>
      <c r="AA9" s="332">
        <v>100</v>
      </c>
      <c r="AB9" s="332">
        <v>110</v>
      </c>
      <c r="AC9" s="332">
        <v>120</v>
      </c>
      <c r="AD9" s="332">
        <v>130</v>
      </c>
      <c r="AE9" s="332">
        <v>140</v>
      </c>
      <c r="AF9" s="332">
        <v>150</v>
      </c>
      <c r="AG9" s="332">
        <v>160</v>
      </c>
      <c r="AH9" s="332">
        <v>170</v>
      </c>
      <c r="AI9" s="360">
        <v>180</v>
      </c>
      <c r="AL9" s="707"/>
      <c r="AM9" s="332">
        <v>-30</v>
      </c>
      <c r="AN9" s="332">
        <v>-20</v>
      </c>
      <c r="AO9" s="332">
        <v>-10</v>
      </c>
      <c r="AP9" s="332">
        <v>0</v>
      </c>
      <c r="AQ9" s="332">
        <v>10</v>
      </c>
      <c r="AR9" s="332">
        <v>20</v>
      </c>
      <c r="AS9" s="332">
        <v>30</v>
      </c>
      <c r="AT9" s="332">
        <v>40</v>
      </c>
      <c r="AU9" s="332">
        <v>50</v>
      </c>
      <c r="AV9" s="332">
        <v>60</v>
      </c>
      <c r="AW9" s="332">
        <v>70</v>
      </c>
      <c r="AX9" s="332">
        <v>80</v>
      </c>
      <c r="AY9" s="332">
        <v>90</v>
      </c>
      <c r="AZ9" s="332">
        <v>100</v>
      </c>
      <c r="BA9" s="332">
        <v>110</v>
      </c>
      <c r="BB9" s="332">
        <v>120</v>
      </c>
      <c r="BC9" s="332">
        <v>130</v>
      </c>
      <c r="BD9" s="332">
        <v>140</v>
      </c>
      <c r="BE9" s="332">
        <v>150</v>
      </c>
      <c r="BF9" s="332">
        <v>160</v>
      </c>
      <c r="BG9" s="332">
        <v>170</v>
      </c>
      <c r="BH9" s="360">
        <v>180</v>
      </c>
    </row>
    <row r="10" spans="2:60" x14ac:dyDescent="0.25">
      <c r="B10" s="717" t="s">
        <v>516</v>
      </c>
      <c r="C10" s="718"/>
      <c r="D10" s="354" t="s">
        <v>517</v>
      </c>
      <c r="E10" s="355">
        <f>N63</f>
        <v>25</v>
      </c>
      <c r="F10" s="356" t="s">
        <v>445</v>
      </c>
      <c r="G10" s="202">
        <f>P63</f>
        <v>107.3</v>
      </c>
      <c r="H10" s="340" t="str">
        <f t="shared" si="0"/>
        <v>PASS</v>
      </c>
      <c r="I10" s="202">
        <f>AO63</f>
        <v>99.1</v>
      </c>
      <c r="J10" s="341" t="str">
        <f t="shared" si="0"/>
        <v>PASS</v>
      </c>
      <c r="M10" s="363" t="s">
        <v>527</v>
      </c>
      <c r="N10" s="340">
        <v>-1.88</v>
      </c>
      <c r="O10" s="340">
        <v>-1.484</v>
      </c>
      <c r="P10" s="340">
        <v>-0.89500000000000002</v>
      </c>
      <c r="Q10" s="340">
        <v>0</v>
      </c>
      <c r="R10" s="340">
        <v>0.89500000000000002</v>
      </c>
      <c r="S10" s="340">
        <v>1.486</v>
      </c>
      <c r="T10" s="340">
        <v>1.8939999999999999</v>
      </c>
      <c r="U10" s="340">
        <v>2.1459999999999999</v>
      </c>
      <c r="V10" s="340">
        <v>2.2949999999999999</v>
      </c>
      <c r="W10" s="340">
        <v>2.3980000000000001</v>
      </c>
      <c r="X10" s="340">
        <v>2.5430000000000001</v>
      </c>
      <c r="Y10" s="340">
        <v>2.9329999999999998</v>
      </c>
      <c r="Z10" s="340">
        <v>3.3479999999999999</v>
      </c>
      <c r="AA10" s="340">
        <v>3.601</v>
      </c>
      <c r="AB10" s="340">
        <v>3.6640000000000001</v>
      </c>
      <c r="AC10" s="340">
        <v>3.3439999999999999</v>
      </c>
      <c r="AD10" s="340">
        <v>2.7719999999999998</v>
      </c>
      <c r="AE10" s="340">
        <v>2.077</v>
      </c>
      <c r="AF10" s="340">
        <v>1.3420000000000001</v>
      </c>
      <c r="AG10" s="340">
        <v>0.61299999999999999</v>
      </c>
      <c r="AH10" s="340">
        <v>0.29099999999999998</v>
      </c>
      <c r="AI10" s="341">
        <v>0</v>
      </c>
      <c r="AL10" s="363" t="s">
        <v>527</v>
      </c>
      <c r="AM10" s="340">
        <v>-4.8739999999999997</v>
      </c>
      <c r="AN10" s="340">
        <v>-4.0679999999999996</v>
      </c>
      <c r="AO10" s="340">
        <v>-2.0920000000000001</v>
      </c>
      <c r="AP10" s="340">
        <v>-3.0000000000000001E-3</v>
      </c>
      <c r="AQ10" s="340">
        <v>2.0870000000000002</v>
      </c>
      <c r="AR10" s="340">
        <v>4.0670000000000002</v>
      </c>
      <c r="AS10" s="340">
        <v>4.8760000000000003</v>
      </c>
      <c r="AT10" s="340">
        <v>4.6769999999999996</v>
      </c>
      <c r="AU10" s="340">
        <v>4.3620000000000001</v>
      </c>
      <c r="AV10" s="340">
        <v>3.968</v>
      </c>
      <c r="AW10" s="340">
        <v>3.613</v>
      </c>
      <c r="AX10" s="340">
        <v>3.8679999999999999</v>
      </c>
      <c r="AY10" s="340">
        <v>5.2439999999999998</v>
      </c>
      <c r="AZ10" s="340">
        <v>5.665</v>
      </c>
      <c r="BA10" s="340">
        <v>5.2519999999999998</v>
      </c>
      <c r="BB10" s="340">
        <v>4.359</v>
      </c>
      <c r="BC10" s="340">
        <v>3.2250000000000001</v>
      </c>
      <c r="BD10" s="340">
        <v>1.9510000000000001</v>
      </c>
      <c r="BE10" s="340">
        <v>0.66700000000000004</v>
      </c>
      <c r="BF10" s="340">
        <v>-0.47799999999999998</v>
      </c>
      <c r="BG10" s="340">
        <v>-1.0609999999999999</v>
      </c>
      <c r="BH10" s="341">
        <v>0</v>
      </c>
    </row>
    <row r="11" spans="2:60" ht="30" x14ac:dyDescent="0.25">
      <c r="B11" s="717" t="s">
        <v>518</v>
      </c>
      <c r="C11" s="718"/>
      <c r="D11" s="354" t="s">
        <v>517</v>
      </c>
      <c r="E11" s="355">
        <f>N67</f>
        <v>0.15</v>
      </c>
      <c r="F11" s="356" t="s">
        <v>71</v>
      </c>
      <c r="G11" s="202">
        <f>P67</f>
        <v>6.1050000000000004</v>
      </c>
      <c r="H11" s="340" t="str">
        <f t="shared" si="0"/>
        <v>PASS</v>
      </c>
      <c r="I11" s="202">
        <f>AO67</f>
        <v>12.016</v>
      </c>
      <c r="J11" s="341" t="str">
        <f t="shared" si="0"/>
        <v>PASS</v>
      </c>
      <c r="M11" s="364" t="s">
        <v>528</v>
      </c>
      <c r="N11" s="202">
        <v>33.683900000000001</v>
      </c>
      <c r="O11" s="202">
        <v>16.789400000000001</v>
      </c>
      <c r="P11" s="202">
        <v>4.6479999999999997</v>
      </c>
      <c r="Q11" s="202">
        <v>0</v>
      </c>
      <c r="R11" s="202">
        <v>4.6506999999999996</v>
      </c>
      <c r="S11" s="202">
        <v>16.781500000000001</v>
      </c>
      <c r="T11" s="202">
        <v>33.807400000000001</v>
      </c>
      <c r="U11" s="202">
        <v>54.125700000000002</v>
      </c>
      <c r="V11" s="202">
        <v>76.390699999999995</v>
      </c>
      <c r="W11" s="202">
        <v>99.884600000000006</v>
      </c>
      <c r="X11" s="202">
        <v>124.4421</v>
      </c>
      <c r="Y11" s="202">
        <v>151.66650000000001</v>
      </c>
      <c r="Z11" s="202">
        <v>183.1634</v>
      </c>
      <c r="AA11" s="202">
        <v>218.04660000000001</v>
      </c>
      <c r="AB11" s="202">
        <v>254.62039999999999</v>
      </c>
      <c r="AC11" s="202">
        <v>289.95510000000002</v>
      </c>
      <c r="AD11" s="202">
        <v>320.68220000000002</v>
      </c>
      <c r="AE11" s="202">
        <v>344.97649999999999</v>
      </c>
      <c r="AF11" s="202">
        <v>362.13690000000003</v>
      </c>
      <c r="AG11" s="202">
        <v>371.70179999999999</v>
      </c>
      <c r="AH11" s="202">
        <v>375.99090000000001</v>
      </c>
      <c r="AI11" s="337">
        <v>377.49439999999998</v>
      </c>
      <c r="AL11" s="364" t="s">
        <v>528</v>
      </c>
      <c r="AM11" s="202">
        <v>87.259699999999995</v>
      </c>
      <c r="AN11" s="202">
        <v>41.795699999999997</v>
      </c>
      <c r="AO11" s="202">
        <v>10.362500000000001</v>
      </c>
      <c r="AP11" s="202">
        <v>-5.4000000000000003E-3</v>
      </c>
      <c r="AQ11" s="202">
        <v>10.322100000000001</v>
      </c>
      <c r="AR11" s="202">
        <v>41.6325</v>
      </c>
      <c r="AS11" s="202">
        <v>87.458600000000004</v>
      </c>
      <c r="AT11" s="202">
        <v>135.6379</v>
      </c>
      <c r="AU11" s="202">
        <v>180.8287</v>
      </c>
      <c r="AV11" s="202">
        <v>222.54390000000001</v>
      </c>
      <c r="AW11" s="202">
        <v>260.2824</v>
      </c>
      <c r="AX11" s="202">
        <v>296.6823</v>
      </c>
      <c r="AY11" s="202">
        <v>342.13639999999998</v>
      </c>
      <c r="AZ11" s="202">
        <v>397.69139999999999</v>
      </c>
      <c r="BA11" s="202">
        <v>452.76459999999997</v>
      </c>
      <c r="BB11" s="202">
        <v>501.10770000000002</v>
      </c>
      <c r="BC11" s="202">
        <v>539.16869999999994</v>
      </c>
      <c r="BD11" s="202">
        <v>565.11739999999998</v>
      </c>
      <c r="BE11" s="202">
        <v>578.14829999999995</v>
      </c>
      <c r="BF11" s="202">
        <v>578.94359999999995</v>
      </c>
      <c r="BG11" s="202">
        <v>570.16330000000005</v>
      </c>
      <c r="BH11" s="337">
        <v>563.85699999999997</v>
      </c>
    </row>
    <row r="12" spans="2:60" x14ac:dyDescent="0.25">
      <c r="B12" s="717" t="s">
        <v>520</v>
      </c>
      <c r="C12" s="718"/>
      <c r="D12" s="354" t="s">
        <v>524</v>
      </c>
      <c r="E12" s="355">
        <f>N75</f>
        <v>10</v>
      </c>
      <c r="F12" s="356" t="s">
        <v>445</v>
      </c>
      <c r="G12" s="202">
        <f>P75</f>
        <v>0</v>
      </c>
      <c r="H12" s="340" t="str">
        <f>IF(G12&lt;=$E12,"PASS","FAIL")</f>
        <v>PASS</v>
      </c>
      <c r="I12" s="202">
        <f>AO75</f>
        <v>0</v>
      </c>
      <c r="J12" s="341" t="str">
        <f>IF(I12&lt;=$E12,"PASS","FAIL")</f>
        <v>PASS</v>
      </c>
      <c r="M12" s="364" t="s">
        <v>529</v>
      </c>
      <c r="N12" s="202">
        <v>104021</v>
      </c>
      <c r="O12" s="202">
        <v>104022</v>
      </c>
      <c r="P12" s="202">
        <v>104013</v>
      </c>
      <c r="Q12" s="202">
        <v>104020</v>
      </c>
      <c r="R12" s="202">
        <v>104021</v>
      </c>
      <c r="S12" s="202">
        <v>104022</v>
      </c>
      <c r="T12" s="202">
        <v>104020</v>
      </c>
      <c r="U12" s="202">
        <v>104021</v>
      </c>
      <c r="V12" s="202">
        <v>104024</v>
      </c>
      <c r="W12" s="202">
        <v>104025</v>
      </c>
      <c r="X12" s="202">
        <v>104021</v>
      </c>
      <c r="Y12" s="202">
        <v>104021</v>
      </c>
      <c r="Z12" s="202">
        <v>104021</v>
      </c>
      <c r="AA12" s="202">
        <v>104023</v>
      </c>
      <c r="AB12" s="202">
        <v>104026</v>
      </c>
      <c r="AC12" s="202">
        <v>104031</v>
      </c>
      <c r="AD12" s="202">
        <v>104024</v>
      </c>
      <c r="AE12" s="202">
        <v>104023</v>
      </c>
      <c r="AF12" s="202">
        <v>104023</v>
      </c>
      <c r="AG12" s="202">
        <v>104021</v>
      </c>
      <c r="AH12" s="202">
        <v>104016</v>
      </c>
      <c r="AI12" s="337">
        <v>104019</v>
      </c>
      <c r="AL12" s="364" t="s">
        <v>529</v>
      </c>
      <c r="AM12" s="202">
        <v>139446</v>
      </c>
      <c r="AN12" s="202">
        <v>139446</v>
      </c>
      <c r="AO12" s="202">
        <v>139439</v>
      </c>
      <c r="AP12" s="202">
        <v>139445</v>
      </c>
      <c r="AQ12" s="202">
        <v>139445</v>
      </c>
      <c r="AR12" s="202">
        <v>139447</v>
      </c>
      <c r="AS12" s="202">
        <v>139453</v>
      </c>
      <c r="AT12" s="202">
        <v>139451</v>
      </c>
      <c r="AU12" s="202">
        <v>139445</v>
      </c>
      <c r="AV12" s="202">
        <v>139445</v>
      </c>
      <c r="AW12" s="202">
        <v>139446</v>
      </c>
      <c r="AX12" s="202">
        <v>139439</v>
      </c>
      <c r="AY12" s="202">
        <v>139449</v>
      </c>
      <c r="AZ12" s="202">
        <v>139446</v>
      </c>
      <c r="BA12" s="202">
        <v>139448</v>
      </c>
      <c r="BB12" s="202">
        <v>139446</v>
      </c>
      <c r="BC12" s="202">
        <v>139443</v>
      </c>
      <c r="BD12" s="202">
        <v>139442</v>
      </c>
      <c r="BE12" s="202">
        <v>139443</v>
      </c>
      <c r="BF12" s="202">
        <v>139447</v>
      </c>
      <c r="BG12" s="202">
        <v>139449</v>
      </c>
      <c r="BH12" s="337">
        <v>139444</v>
      </c>
    </row>
    <row r="13" spans="2:60" x14ac:dyDescent="0.25">
      <c r="B13" s="717" t="s">
        <v>521</v>
      </c>
      <c r="C13" s="718"/>
      <c r="D13" s="354" t="s">
        <v>524</v>
      </c>
      <c r="E13" s="355">
        <f>N86</f>
        <v>10</v>
      </c>
      <c r="F13" s="356" t="s">
        <v>445</v>
      </c>
      <c r="G13" s="202">
        <f>P86</f>
        <v>0</v>
      </c>
      <c r="H13" s="340" t="str">
        <f t="shared" ref="H13:J15" si="1">IF(G13&lt;=$E13,"PASS","FAIL")</f>
        <v>PASS</v>
      </c>
      <c r="I13" s="202">
        <f>AO86</f>
        <v>0</v>
      </c>
      <c r="J13" s="341" t="str">
        <f t="shared" si="1"/>
        <v>PASS</v>
      </c>
      <c r="M13" s="364" t="s">
        <v>530</v>
      </c>
      <c r="N13" s="202">
        <v>0.61</v>
      </c>
      <c r="O13" s="202">
        <v>0.85099999999999998</v>
      </c>
      <c r="P13" s="202">
        <v>0.98599999999999999</v>
      </c>
      <c r="Q13" s="202">
        <v>1.0309999999999999</v>
      </c>
      <c r="R13" s="202">
        <v>0.98699999999999999</v>
      </c>
      <c r="S13" s="202">
        <v>0.85</v>
      </c>
      <c r="T13" s="202">
        <v>0.60399999999999998</v>
      </c>
      <c r="U13" s="202">
        <v>0.21199999999999999</v>
      </c>
      <c r="V13" s="202">
        <v>-0.42399999999999999</v>
      </c>
      <c r="W13" s="202">
        <v>-1.5589999999999999</v>
      </c>
      <c r="X13" s="202">
        <v>-3.9710000000000001</v>
      </c>
      <c r="Y13" s="202">
        <v>-11.725</v>
      </c>
      <c r="Z13" s="202" t="s">
        <v>452</v>
      </c>
      <c r="AA13" s="202">
        <v>-19.687999999999999</v>
      </c>
      <c r="AB13" s="202">
        <v>-11.766</v>
      </c>
      <c r="AC13" s="202">
        <v>-9.2520000000000007</v>
      </c>
      <c r="AD13" s="202">
        <v>-8.0749999999999993</v>
      </c>
      <c r="AE13" s="202">
        <v>-7.4219999999999997</v>
      </c>
      <c r="AF13" s="202">
        <v>-7.0389999999999997</v>
      </c>
      <c r="AG13" s="202">
        <v>-6.9059999999999997</v>
      </c>
      <c r="AH13" s="202">
        <v>-6.8209999999999997</v>
      </c>
      <c r="AI13" s="337">
        <v>-6.782</v>
      </c>
      <c r="AL13" s="364" t="s">
        <v>530</v>
      </c>
      <c r="AM13" s="202">
        <v>2.081</v>
      </c>
      <c r="AN13" s="202">
        <v>2.823</v>
      </c>
      <c r="AO13" s="202">
        <v>3.0550000000000002</v>
      </c>
      <c r="AP13" s="202">
        <v>3.1179999999999999</v>
      </c>
      <c r="AQ13" s="202">
        <v>3.0550000000000002</v>
      </c>
      <c r="AR13" s="202">
        <v>2.8250000000000002</v>
      </c>
      <c r="AS13" s="202">
        <v>2.0830000000000002</v>
      </c>
      <c r="AT13" s="202">
        <v>0.83899999999999997</v>
      </c>
      <c r="AU13" s="202">
        <v>-0.84699999999999998</v>
      </c>
      <c r="AV13" s="202">
        <v>-3.4390000000000001</v>
      </c>
      <c r="AW13" s="202">
        <v>-8.3529999999999998</v>
      </c>
      <c r="AX13" s="202">
        <v>-22.849</v>
      </c>
      <c r="AY13" s="202" t="s">
        <v>452</v>
      </c>
      <c r="AZ13" s="202">
        <v>-34.741999999999997</v>
      </c>
      <c r="BA13" s="202">
        <v>-20.754000000000001</v>
      </c>
      <c r="BB13" s="202">
        <v>-16.103000000000002</v>
      </c>
      <c r="BC13" s="202">
        <v>-13.901</v>
      </c>
      <c r="BD13" s="202">
        <v>-12.442</v>
      </c>
      <c r="BE13" s="202">
        <v>-11.462999999999999</v>
      </c>
      <c r="BF13" s="202">
        <v>-10.786</v>
      </c>
      <c r="BG13" s="202">
        <v>-10.382</v>
      </c>
      <c r="BH13" s="337">
        <v>-10.31</v>
      </c>
    </row>
    <row r="14" spans="2:60" x14ac:dyDescent="0.25">
      <c r="B14" s="712" t="s">
        <v>522</v>
      </c>
      <c r="C14" s="352" t="s">
        <v>523</v>
      </c>
      <c r="D14" s="354" t="s">
        <v>524</v>
      </c>
      <c r="E14" s="355">
        <f>N109</f>
        <v>16</v>
      </c>
      <c r="F14" s="356" t="s">
        <v>445</v>
      </c>
      <c r="G14" s="202">
        <f>P109</f>
        <v>4</v>
      </c>
      <c r="H14" s="340" t="str">
        <f t="shared" si="1"/>
        <v>PASS</v>
      </c>
      <c r="I14" s="202">
        <f>AO109</f>
        <v>1.8</v>
      </c>
      <c r="J14" s="341" t="str">
        <f t="shared" si="1"/>
        <v>PASS</v>
      </c>
      <c r="M14" s="364" t="s">
        <v>531</v>
      </c>
      <c r="N14" s="202">
        <v>0.61</v>
      </c>
      <c r="O14" s="202">
        <v>0.85099999999999998</v>
      </c>
      <c r="P14" s="202">
        <v>0.98599999999999999</v>
      </c>
      <c r="Q14" s="202">
        <v>1.0309999999999999</v>
      </c>
      <c r="R14" s="202">
        <v>0.98699999999999999</v>
      </c>
      <c r="S14" s="202">
        <v>0.85</v>
      </c>
      <c r="T14" s="202">
        <v>0.60399999999999998</v>
      </c>
      <c r="U14" s="202">
        <v>0.21199999999999999</v>
      </c>
      <c r="V14" s="202">
        <v>-0.42399999999999999</v>
      </c>
      <c r="W14" s="202">
        <v>-1.5589999999999999</v>
      </c>
      <c r="X14" s="202">
        <v>-3.9710000000000001</v>
      </c>
      <c r="Y14" s="202">
        <v>-11.725</v>
      </c>
      <c r="Z14" s="202" t="s">
        <v>452</v>
      </c>
      <c r="AA14" s="202">
        <v>-19.687999999999999</v>
      </c>
      <c r="AB14" s="202">
        <v>-11.766</v>
      </c>
      <c r="AC14" s="202">
        <v>-9.2520000000000007</v>
      </c>
      <c r="AD14" s="202">
        <v>-8.0749999999999993</v>
      </c>
      <c r="AE14" s="202">
        <v>-7.4219999999999997</v>
      </c>
      <c r="AF14" s="202">
        <v>-7.0389999999999997</v>
      </c>
      <c r="AG14" s="202">
        <v>-6.9059999999999997</v>
      </c>
      <c r="AH14" s="202">
        <v>-6.8209999999999997</v>
      </c>
      <c r="AI14" s="337">
        <v>-6.782</v>
      </c>
      <c r="AL14" s="364" t="s">
        <v>531</v>
      </c>
      <c r="AM14" s="202">
        <v>2.081</v>
      </c>
      <c r="AN14" s="202">
        <v>2.823</v>
      </c>
      <c r="AO14" s="202">
        <v>3.0550000000000002</v>
      </c>
      <c r="AP14" s="202">
        <v>3.1179999999999999</v>
      </c>
      <c r="AQ14" s="202">
        <v>3.0550000000000002</v>
      </c>
      <c r="AR14" s="202">
        <v>2.8250000000000002</v>
      </c>
      <c r="AS14" s="202">
        <v>2.0830000000000002</v>
      </c>
      <c r="AT14" s="202">
        <v>0.83899999999999997</v>
      </c>
      <c r="AU14" s="202">
        <v>-0.84699999999999998</v>
      </c>
      <c r="AV14" s="202">
        <v>-3.4390000000000001</v>
      </c>
      <c r="AW14" s="202">
        <v>-8.3529999999999998</v>
      </c>
      <c r="AX14" s="202">
        <v>-22.849</v>
      </c>
      <c r="AY14" s="202" t="s">
        <v>452</v>
      </c>
      <c r="AZ14" s="202">
        <v>-34.741999999999997</v>
      </c>
      <c r="BA14" s="202">
        <v>-20.754000000000001</v>
      </c>
      <c r="BB14" s="202">
        <v>-16.103000000000002</v>
      </c>
      <c r="BC14" s="202">
        <v>-13.901</v>
      </c>
      <c r="BD14" s="202">
        <v>-12.442</v>
      </c>
      <c r="BE14" s="202">
        <v>-11.462999999999999</v>
      </c>
      <c r="BF14" s="202">
        <v>-10.786</v>
      </c>
      <c r="BG14" s="202">
        <v>-10.382</v>
      </c>
      <c r="BH14" s="337">
        <v>-10.31</v>
      </c>
    </row>
    <row r="15" spans="2:60" ht="45" x14ac:dyDescent="0.25">
      <c r="B15" s="712"/>
      <c r="C15" s="351" t="s">
        <v>525</v>
      </c>
      <c r="D15" s="354" t="s">
        <v>524</v>
      </c>
      <c r="E15" s="355">
        <f t="shared" ref="E15:E16" si="2">N110</f>
        <v>80</v>
      </c>
      <c r="F15" s="356" t="s">
        <v>475</v>
      </c>
      <c r="G15" s="202">
        <f>P110</f>
        <v>14.19</v>
      </c>
      <c r="H15" s="340" t="str">
        <f t="shared" si="1"/>
        <v>PASS</v>
      </c>
      <c r="I15" s="202">
        <f t="shared" ref="I15:I16" si="3">AO110</f>
        <v>18.079999999999998</v>
      </c>
      <c r="J15" s="341" t="str">
        <f t="shared" si="1"/>
        <v>PASS</v>
      </c>
      <c r="M15" s="364" t="s">
        <v>532</v>
      </c>
      <c r="N15" s="202">
        <v>26.137</v>
      </c>
      <c r="O15" s="202">
        <v>26.581</v>
      </c>
      <c r="P15" s="202">
        <v>26.739000000000001</v>
      </c>
      <c r="Q15" s="202">
        <v>26.783999999999999</v>
      </c>
      <c r="R15" s="202">
        <v>26.739000000000001</v>
      </c>
      <c r="S15" s="202">
        <v>26.581</v>
      </c>
      <c r="T15" s="202">
        <v>26.12</v>
      </c>
      <c r="U15" s="202">
        <v>24.795000000000002</v>
      </c>
      <c r="V15" s="202">
        <v>24.166</v>
      </c>
      <c r="W15" s="202">
        <v>23.747</v>
      </c>
      <c r="X15" s="202">
        <v>23.324000000000002</v>
      </c>
      <c r="Y15" s="202">
        <v>23.001000000000001</v>
      </c>
      <c r="Z15" s="202">
        <v>23.786999999999999</v>
      </c>
      <c r="AA15" s="202">
        <v>24.03</v>
      </c>
      <c r="AB15" s="202">
        <v>24.03</v>
      </c>
      <c r="AC15" s="202">
        <v>21.35</v>
      </c>
      <c r="AD15" s="202">
        <v>21.35</v>
      </c>
      <c r="AE15" s="202">
        <v>21.35</v>
      </c>
      <c r="AF15" s="202">
        <v>21.35</v>
      </c>
      <c r="AG15" s="202">
        <v>17.329999999999998</v>
      </c>
      <c r="AH15" s="202">
        <v>17.161000000000001</v>
      </c>
      <c r="AI15" s="337">
        <v>16.989999999999998</v>
      </c>
      <c r="AL15" s="364" t="s">
        <v>532</v>
      </c>
      <c r="AM15" s="202">
        <v>24.231000000000002</v>
      </c>
      <c r="AN15" s="202">
        <v>24.14</v>
      </c>
      <c r="AO15" s="202">
        <v>23.873000000000001</v>
      </c>
      <c r="AP15" s="202">
        <v>23.506</v>
      </c>
      <c r="AQ15" s="202">
        <v>23.873000000000001</v>
      </c>
      <c r="AR15" s="202">
        <v>24.14</v>
      </c>
      <c r="AS15" s="202">
        <v>24.231999999999999</v>
      </c>
      <c r="AT15" s="202">
        <v>24.22</v>
      </c>
      <c r="AU15" s="202">
        <v>24.201000000000001</v>
      </c>
      <c r="AV15" s="202">
        <v>24.167000000000002</v>
      </c>
      <c r="AW15" s="202">
        <v>24.085000000000001</v>
      </c>
      <c r="AX15" s="202">
        <v>23.661000000000001</v>
      </c>
      <c r="AY15" s="202">
        <v>21.969000000000001</v>
      </c>
      <c r="AZ15" s="202">
        <v>21.565000000000001</v>
      </c>
      <c r="BA15" s="202">
        <v>20.55</v>
      </c>
      <c r="BB15" s="202">
        <v>20.55</v>
      </c>
      <c r="BC15" s="202">
        <v>17.87</v>
      </c>
      <c r="BD15" s="202">
        <v>17.87</v>
      </c>
      <c r="BE15" s="202">
        <v>17.87</v>
      </c>
      <c r="BF15" s="202">
        <v>17.87</v>
      </c>
      <c r="BG15" s="202">
        <v>17.87</v>
      </c>
      <c r="BH15" s="337">
        <v>17.582999999999998</v>
      </c>
    </row>
    <row r="16" spans="2:60" ht="15.75" thickBot="1" x14ac:dyDescent="0.3">
      <c r="B16" s="713"/>
      <c r="C16" s="353" t="s">
        <v>526</v>
      </c>
      <c r="D16" s="357" t="s">
        <v>517</v>
      </c>
      <c r="E16" s="358">
        <f t="shared" si="2"/>
        <v>100</v>
      </c>
      <c r="F16" s="359" t="s">
        <v>475</v>
      </c>
      <c r="G16" s="390">
        <f>P111</f>
        <v>153.84</v>
      </c>
      <c r="H16" s="391" t="str">
        <f>IF(G16&gt;=$E16,"PASS","FAIL")</f>
        <v>PASS</v>
      </c>
      <c r="I16" s="338">
        <f t="shared" si="3"/>
        <v>224.67</v>
      </c>
      <c r="J16" s="384" t="str">
        <f>IF(I16&gt;=$E16,"PASS","FAIL")</f>
        <v>PASS</v>
      </c>
      <c r="M16" s="364" t="s">
        <v>533</v>
      </c>
      <c r="N16" s="202">
        <v>5.45</v>
      </c>
      <c r="O16" s="202">
        <v>5.9</v>
      </c>
      <c r="P16" s="202">
        <v>6.6210000000000004</v>
      </c>
      <c r="Q16" s="202">
        <v>7.57</v>
      </c>
      <c r="R16" s="202">
        <v>6.6219999999999999</v>
      </c>
      <c r="S16" s="202">
        <v>5.9</v>
      </c>
      <c r="T16" s="202">
        <v>5.4390000000000001</v>
      </c>
      <c r="U16" s="202">
        <v>5.2439999999999998</v>
      </c>
      <c r="V16" s="202">
        <v>5.3019999999999996</v>
      </c>
      <c r="W16" s="202">
        <v>5.6870000000000003</v>
      </c>
      <c r="X16" s="202">
        <v>6.6749999999999998</v>
      </c>
      <c r="Y16" s="202">
        <v>7.5060000000000002</v>
      </c>
      <c r="Z16" s="202">
        <v>7.1829999999999998</v>
      </c>
      <c r="AA16" s="202">
        <v>7.0730000000000004</v>
      </c>
      <c r="AB16" s="202">
        <v>6.7220000000000004</v>
      </c>
      <c r="AC16" s="202">
        <v>5.7619999999999996</v>
      </c>
      <c r="AD16" s="202">
        <v>5.383</v>
      </c>
      <c r="AE16" s="202">
        <v>5.3559999999999999</v>
      </c>
      <c r="AF16" s="202">
        <v>5.6719999999999997</v>
      </c>
      <c r="AG16" s="202">
        <v>6.319</v>
      </c>
      <c r="AH16" s="202">
        <v>7.6849999999999996</v>
      </c>
      <c r="AI16" s="337">
        <v>7.5679999999999996</v>
      </c>
      <c r="AL16" s="364" t="s">
        <v>533</v>
      </c>
      <c r="AM16" s="202">
        <v>6.3239999999999998</v>
      </c>
      <c r="AN16" s="202">
        <v>11.935</v>
      </c>
      <c r="AO16" s="202">
        <v>11.597</v>
      </c>
      <c r="AP16" s="202">
        <v>11.471</v>
      </c>
      <c r="AQ16" s="202">
        <v>11.597</v>
      </c>
      <c r="AR16" s="202">
        <v>11.936</v>
      </c>
      <c r="AS16" s="202">
        <v>6.3250000000000002</v>
      </c>
      <c r="AT16" s="202">
        <v>6.3049999999999997</v>
      </c>
      <c r="AU16" s="202">
        <v>6.2430000000000003</v>
      </c>
      <c r="AV16" s="202">
        <v>6.29</v>
      </c>
      <c r="AW16" s="202">
        <v>6.93</v>
      </c>
      <c r="AX16" s="202">
        <v>10.6</v>
      </c>
      <c r="AY16" s="202">
        <v>10.667</v>
      </c>
      <c r="AZ16" s="202">
        <v>8.5410000000000004</v>
      </c>
      <c r="BA16" s="202">
        <v>7.0469999999999997</v>
      </c>
      <c r="BB16" s="202">
        <v>6.3319999999999999</v>
      </c>
      <c r="BC16" s="202">
        <v>5.843</v>
      </c>
      <c r="BD16" s="202">
        <v>5.8739999999999997</v>
      </c>
      <c r="BE16" s="202">
        <v>6.3029999999999999</v>
      </c>
      <c r="BF16" s="202">
        <v>7.375</v>
      </c>
      <c r="BG16" s="202">
        <v>10.231999999999999</v>
      </c>
      <c r="BH16" s="337">
        <v>12.247999999999999</v>
      </c>
    </row>
    <row r="17" spans="12:60" x14ac:dyDescent="0.25">
      <c r="M17" s="364" t="s">
        <v>534</v>
      </c>
      <c r="N17" s="202">
        <v>144.74299999999999</v>
      </c>
      <c r="O17" s="202">
        <v>151.536</v>
      </c>
      <c r="P17" s="202">
        <v>159.54</v>
      </c>
      <c r="Q17" s="202">
        <v>167.68700000000001</v>
      </c>
      <c r="R17" s="202">
        <v>159.1</v>
      </c>
      <c r="S17" s="202">
        <v>153.345</v>
      </c>
      <c r="T17" s="202">
        <v>147.351</v>
      </c>
      <c r="U17" s="202">
        <v>143.91399999999999</v>
      </c>
      <c r="V17" s="202">
        <v>140.99</v>
      </c>
      <c r="W17" s="202">
        <v>144.77199999999999</v>
      </c>
      <c r="X17" s="202">
        <v>151.238</v>
      </c>
      <c r="Y17" s="202">
        <v>162.14599999999999</v>
      </c>
      <c r="Z17" s="202">
        <v>166.74100000000001</v>
      </c>
      <c r="AA17" s="202">
        <v>160.51599999999999</v>
      </c>
      <c r="AB17" s="202">
        <v>148.803</v>
      </c>
      <c r="AC17" s="202">
        <v>131.40100000000001</v>
      </c>
      <c r="AD17" s="202">
        <v>128.358</v>
      </c>
      <c r="AE17" s="202">
        <v>129.78</v>
      </c>
      <c r="AF17" s="202">
        <v>135.36000000000001</v>
      </c>
      <c r="AG17" s="202">
        <v>158.11000000000001</v>
      </c>
      <c r="AH17" s="202">
        <v>170.97</v>
      </c>
      <c r="AI17" s="337">
        <v>164.72499999999999</v>
      </c>
      <c r="AL17" s="364" t="s">
        <v>534</v>
      </c>
      <c r="AM17" s="202">
        <v>210.13399999999999</v>
      </c>
      <c r="AN17" s="202">
        <v>241.61</v>
      </c>
      <c r="AO17" s="202">
        <v>259.899</v>
      </c>
      <c r="AP17" s="202">
        <v>263.31200000000001</v>
      </c>
      <c r="AQ17" s="202">
        <v>262.827</v>
      </c>
      <c r="AR17" s="202">
        <v>242.99299999999999</v>
      </c>
      <c r="AS17" s="202">
        <v>211.49</v>
      </c>
      <c r="AT17" s="202">
        <v>212.33</v>
      </c>
      <c r="AU17" s="202">
        <v>213.244</v>
      </c>
      <c r="AV17" s="202">
        <v>214.351</v>
      </c>
      <c r="AW17" s="202">
        <v>217.75899999999999</v>
      </c>
      <c r="AX17" s="202">
        <v>230.63800000000001</v>
      </c>
      <c r="AY17" s="202">
        <v>207.77699999999999</v>
      </c>
      <c r="AZ17" s="202">
        <v>172.18700000000001</v>
      </c>
      <c r="BA17" s="202">
        <v>157.37200000000001</v>
      </c>
      <c r="BB17" s="202">
        <v>146.577</v>
      </c>
      <c r="BC17" s="202">
        <v>153.35499999999999</v>
      </c>
      <c r="BD17" s="202">
        <v>152.25299999999999</v>
      </c>
      <c r="BE17" s="202">
        <v>155.751</v>
      </c>
      <c r="BF17" s="202">
        <v>166.74799999999999</v>
      </c>
      <c r="BG17" s="202">
        <v>200.00299999999999</v>
      </c>
      <c r="BH17" s="337">
        <v>218.072</v>
      </c>
    </row>
    <row r="18" spans="12:60" x14ac:dyDescent="0.25">
      <c r="M18" s="364" t="s">
        <v>535</v>
      </c>
      <c r="N18" s="202">
        <v>113.453</v>
      </c>
      <c r="O18" s="202">
        <v>123.685</v>
      </c>
      <c r="P18" s="202">
        <v>137.33000000000001</v>
      </c>
      <c r="Q18" s="202">
        <v>154.17400000000001</v>
      </c>
      <c r="R18" s="202">
        <v>137.09100000000001</v>
      </c>
      <c r="S18" s="202">
        <v>124.306</v>
      </c>
      <c r="T18" s="202">
        <v>115.06699999999999</v>
      </c>
      <c r="U18" s="202">
        <v>106.976</v>
      </c>
      <c r="V18" s="202">
        <v>102.301</v>
      </c>
      <c r="W18" s="202">
        <v>106.751</v>
      </c>
      <c r="X18" s="202">
        <v>114.79</v>
      </c>
      <c r="Y18" s="202">
        <v>127.23</v>
      </c>
      <c r="Z18" s="202">
        <v>128.52000000000001</v>
      </c>
      <c r="AA18" s="202">
        <v>121.43600000000001</v>
      </c>
      <c r="AB18" s="202">
        <v>109.943</v>
      </c>
      <c r="AC18" s="202">
        <v>90.932000000000002</v>
      </c>
      <c r="AD18" s="202">
        <v>83.995999999999995</v>
      </c>
      <c r="AE18" s="202">
        <v>82.861000000000004</v>
      </c>
      <c r="AF18" s="202">
        <v>87.066000000000003</v>
      </c>
      <c r="AG18" s="202">
        <v>103.111</v>
      </c>
      <c r="AH18" s="202">
        <v>117.57899999999999</v>
      </c>
      <c r="AI18" s="337">
        <v>110.66800000000001</v>
      </c>
      <c r="AL18" s="364" t="s">
        <v>535</v>
      </c>
      <c r="AM18" s="202">
        <v>52.579000000000001</v>
      </c>
      <c r="AN18" s="202">
        <v>67.438999999999993</v>
      </c>
      <c r="AO18" s="202">
        <v>71.204999999999998</v>
      </c>
      <c r="AP18" s="202">
        <v>71.635999999999996</v>
      </c>
      <c r="AQ18" s="202">
        <v>71.203000000000003</v>
      </c>
      <c r="AR18" s="202">
        <v>67.463999999999999</v>
      </c>
      <c r="AS18" s="202">
        <v>52.591999999999999</v>
      </c>
      <c r="AT18" s="202">
        <v>59.658000000000001</v>
      </c>
      <c r="AU18" s="202">
        <v>69.295000000000002</v>
      </c>
      <c r="AV18" s="202">
        <v>85.105000000000004</v>
      </c>
      <c r="AW18" s="202">
        <v>115.42100000000001</v>
      </c>
      <c r="AX18" s="202">
        <v>180.53200000000001</v>
      </c>
      <c r="AY18" s="202">
        <v>183.06700000000001</v>
      </c>
      <c r="AZ18" s="202">
        <v>138.15700000000001</v>
      </c>
      <c r="BA18" s="202">
        <v>115.914</v>
      </c>
      <c r="BB18" s="202">
        <v>102.03100000000001</v>
      </c>
      <c r="BC18" s="202">
        <v>98.244</v>
      </c>
      <c r="BD18" s="202">
        <v>97.007000000000005</v>
      </c>
      <c r="BE18" s="202">
        <v>102.173</v>
      </c>
      <c r="BF18" s="202">
        <v>116.99299999999999</v>
      </c>
      <c r="BG18" s="202">
        <v>157.37200000000001</v>
      </c>
      <c r="BH18" s="337">
        <v>176.61</v>
      </c>
    </row>
    <row r="19" spans="12:60" x14ac:dyDescent="0.25">
      <c r="M19" s="364" t="s">
        <v>120</v>
      </c>
      <c r="N19" s="202">
        <v>0.70299999999999996</v>
      </c>
      <c r="O19" s="202">
        <v>0.70499999999999996</v>
      </c>
      <c r="P19" s="202">
        <v>0.70899999999999996</v>
      </c>
      <c r="Q19" s="202">
        <v>0.70199999999999996</v>
      </c>
      <c r="R19" s="202">
        <v>0.70899999999999996</v>
      </c>
      <c r="S19" s="202">
        <v>0.70499999999999996</v>
      </c>
      <c r="T19" s="202">
        <v>0.70699999999999996</v>
      </c>
      <c r="U19" s="202">
        <v>0.72799999999999998</v>
      </c>
      <c r="V19" s="202">
        <v>0.72399999999999998</v>
      </c>
      <c r="W19" s="202">
        <v>0.71</v>
      </c>
      <c r="X19" s="202">
        <v>0.68100000000000005</v>
      </c>
      <c r="Y19" s="202">
        <v>0.63</v>
      </c>
      <c r="Z19" s="202">
        <v>0.58899999999999997</v>
      </c>
      <c r="AA19" s="202">
        <v>0.57799999999999996</v>
      </c>
      <c r="AB19" s="202">
        <v>0.58099999999999996</v>
      </c>
      <c r="AC19" s="202">
        <v>0.66100000000000003</v>
      </c>
      <c r="AD19" s="202">
        <v>0.66600000000000004</v>
      </c>
      <c r="AE19" s="202">
        <v>0.67300000000000004</v>
      </c>
      <c r="AF19" s="202">
        <v>0.68200000000000005</v>
      </c>
      <c r="AG19" s="202">
        <v>0.91300000000000003</v>
      </c>
      <c r="AH19" s="202">
        <v>0.89900000000000002</v>
      </c>
      <c r="AI19" s="337">
        <v>0.86899999999999999</v>
      </c>
      <c r="AL19" s="364" t="s">
        <v>120</v>
      </c>
      <c r="AM19" s="202">
        <v>0.65800000000000003</v>
      </c>
      <c r="AN19" s="202">
        <v>0.64</v>
      </c>
      <c r="AO19" s="202">
        <v>0.63400000000000001</v>
      </c>
      <c r="AP19" s="202">
        <v>0.64</v>
      </c>
      <c r="AQ19" s="202">
        <v>0.63400000000000001</v>
      </c>
      <c r="AR19" s="202">
        <v>0.64</v>
      </c>
      <c r="AS19" s="202">
        <v>0.65700000000000003</v>
      </c>
      <c r="AT19" s="202">
        <v>0.65600000000000003</v>
      </c>
      <c r="AU19" s="202">
        <v>0.65500000000000003</v>
      </c>
      <c r="AV19" s="202">
        <v>0.65100000000000002</v>
      </c>
      <c r="AW19" s="202">
        <v>0.64200000000000002</v>
      </c>
      <c r="AX19" s="202">
        <v>0.621</v>
      </c>
      <c r="AY19" s="202">
        <v>0.64700000000000002</v>
      </c>
      <c r="AZ19" s="202">
        <v>0.66800000000000004</v>
      </c>
      <c r="BA19" s="202">
        <v>0.72799999999999998</v>
      </c>
      <c r="BB19" s="202">
        <v>0.73699999999999999</v>
      </c>
      <c r="BC19" s="202">
        <v>0.90600000000000003</v>
      </c>
      <c r="BD19" s="202">
        <v>0.89600000000000002</v>
      </c>
      <c r="BE19" s="202">
        <v>0.88500000000000001</v>
      </c>
      <c r="BF19" s="202">
        <v>0.871</v>
      </c>
      <c r="BG19" s="202">
        <v>0.85</v>
      </c>
      <c r="BH19" s="337">
        <v>0.82099999999999995</v>
      </c>
    </row>
    <row r="20" spans="12:60" x14ac:dyDescent="0.25">
      <c r="M20" s="364" t="s">
        <v>121</v>
      </c>
      <c r="N20" s="202">
        <v>0.432</v>
      </c>
      <c r="O20" s="202">
        <v>0.51200000000000001</v>
      </c>
      <c r="P20" s="202">
        <v>0.52200000000000002</v>
      </c>
      <c r="Q20" s="202">
        <v>0.48599999999999999</v>
      </c>
      <c r="R20" s="202">
        <v>0.52200000000000002</v>
      </c>
      <c r="S20" s="202">
        <v>0.51200000000000001</v>
      </c>
      <c r="T20" s="202">
        <v>0.435</v>
      </c>
      <c r="U20" s="202">
        <v>0.40799999999999997</v>
      </c>
      <c r="V20" s="202">
        <v>0.38600000000000001</v>
      </c>
      <c r="W20" s="202">
        <v>0.36599999999999999</v>
      </c>
      <c r="X20" s="202">
        <v>0.34499999999999997</v>
      </c>
      <c r="Y20" s="202">
        <v>0.38300000000000001</v>
      </c>
      <c r="Z20" s="202">
        <v>0.57199999999999995</v>
      </c>
      <c r="AA20" s="202">
        <v>0.36299999999999999</v>
      </c>
      <c r="AB20" s="202">
        <v>0.29099999999999998</v>
      </c>
      <c r="AC20" s="202">
        <v>0.33100000000000002</v>
      </c>
      <c r="AD20" s="202">
        <v>0.33300000000000002</v>
      </c>
      <c r="AE20" s="202">
        <v>0.33700000000000002</v>
      </c>
      <c r="AF20" s="202">
        <v>0.34100000000000003</v>
      </c>
      <c r="AG20" s="202">
        <v>0.45600000000000002</v>
      </c>
      <c r="AH20" s="202">
        <v>0.50800000000000001</v>
      </c>
      <c r="AI20" s="337">
        <v>0.86899999999999999</v>
      </c>
      <c r="AL20" s="364" t="s">
        <v>121</v>
      </c>
      <c r="AM20" s="202">
        <v>0.45</v>
      </c>
      <c r="AN20" s="202">
        <v>0.32100000000000001</v>
      </c>
      <c r="AO20" s="202">
        <v>0.34499999999999997</v>
      </c>
      <c r="AP20" s="202">
        <v>0.42599999999999999</v>
      </c>
      <c r="AQ20" s="202">
        <v>0.34499999999999997</v>
      </c>
      <c r="AR20" s="202">
        <v>0.32100000000000001</v>
      </c>
      <c r="AS20" s="202">
        <v>0.45</v>
      </c>
      <c r="AT20" s="202">
        <v>0.45200000000000001</v>
      </c>
      <c r="AU20" s="202">
        <v>0.45900000000000002</v>
      </c>
      <c r="AV20" s="202">
        <v>0.46500000000000002</v>
      </c>
      <c r="AW20" s="202">
        <v>0.46800000000000003</v>
      </c>
      <c r="AX20" s="202">
        <v>0.47599999999999998</v>
      </c>
      <c r="AY20" s="202">
        <v>0.51600000000000001</v>
      </c>
      <c r="AZ20" s="202">
        <v>0.38400000000000001</v>
      </c>
      <c r="BA20" s="202">
        <v>0.38400000000000001</v>
      </c>
      <c r="BB20" s="202">
        <v>0.374</v>
      </c>
      <c r="BC20" s="202">
        <v>0.45300000000000001</v>
      </c>
      <c r="BD20" s="202">
        <v>0.44800000000000001</v>
      </c>
      <c r="BE20" s="202">
        <v>0.442</v>
      </c>
      <c r="BF20" s="202">
        <v>0.435</v>
      </c>
      <c r="BG20" s="202">
        <v>0.42499999999999999</v>
      </c>
      <c r="BH20" s="337">
        <v>0.82099999999999995</v>
      </c>
    </row>
    <row r="21" spans="12:60" x14ac:dyDescent="0.25">
      <c r="M21" s="364" t="s">
        <v>536</v>
      </c>
      <c r="N21" s="202">
        <v>11.305</v>
      </c>
      <c r="O21" s="202">
        <v>11.59</v>
      </c>
      <c r="P21" s="202">
        <v>11.811999999999999</v>
      </c>
      <c r="Q21" s="202">
        <v>11.888999999999999</v>
      </c>
      <c r="R21" s="202">
        <v>11.815</v>
      </c>
      <c r="S21" s="202">
        <v>11.586</v>
      </c>
      <c r="T21" s="202">
        <v>11.234999999999999</v>
      </c>
      <c r="U21" s="202">
        <v>10.973000000000001</v>
      </c>
      <c r="V21" s="202">
        <v>10.826000000000001</v>
      </c>
      <c r="W21" s="202">
        <v>10.728</v>
      </c>
      <c r="X21" s="202">
        <v>10.663</v>
      </c>
      <c r="Y21" s="202">
        <v>10.775</v>
      </c>
      <c r="Z21" s="202">
        <v>11.311</v>
      </c>
      <c r="AA21" s="202">
        <v>12.067</v>
      </c>
      <c r="AB21" s="202">
        <v>12.872999999999999</v>
      </c>
      <c r="AC21" s="202">
        <v>13.433999999999999</v>
      </c>
      <c r="AD21" s="202">
        <v>13.798999999999999</v>
      </c>
      <c r="AE21" s="202">
        <v>14.05</v>
      </c>
      <c r="AF21" s="202">
        <v>14.231</v>
      </c>
      <c r="AG21" s="202">
        <v>13.869</v>
      </c>
      <c r="AH21" s="202">
        <v>14.3</v>
      </c>
      <c r="AI21" s="337">
        <v>14.65</v>
      </c>
      <c r="AL21" s="364" t="s">
        <v>536</v>
      </c>
      <c r="AM21" s="202">
        <v>9.8930000000000007</v>
      </c>
      <c r="AN21" s="202">
        <v>9.8529999999999998</v>
      </c>
      <c r="AO21" s="202">
        <v>9.7319999999999993</v>
      </c>
      <c r="AP21" s="202">
        <v>9.69</v>
      </c>
      <c r="AQ21" s="202">
        <v>9.73</v>
      </c>
      <c r="AR21" s="202">
        <v>9.8580000000000005</v>
      </c>
      <c r="AS21" s="202">
        <v>9.8989999999999991</v>
      </c>
      <c r="AT21" s="202">
        <v>9.8840000000000003</v>
      </c>
      <c r="AU21" s="202">
        <v>9.8689999999999998</v>
      </c>
      <c r="AV21" s="202">
        <v>9.8729999999999993</v>
      </c>
      <c r="AW21" s="202">
        <v>9.8919999999999995</v>
      </c>
      <c r="AX21" s="202">
        <v>9.8580000000000005</v>
      </c>
      <c r="AY21" s="202">
        <v>10.032999999999999</v>
      </c>
      <c r="AZ21" s="202">
        <v>10.566000000000001</v>
      </c>
      <c r="BA21" s="202">
        <v>11.159000000000001</v>
      </c>
      <c r="BB21" s="202">
        <v>11.332000000000001</v>
      </c>
      <c r="BC21" s="202">
        <v>10.904</v>
      </c>
      <c r="BD21" s="202">
        <v>11.106</v>
      </c>
      <c r="BE21" s="202">
        <v>11.263</v>
      </c>
      <c r="BF21" s="202">
        <v>11.397</v>
      </c>
      <c r="BG21" s="202">
        <v>11.523</v>
      </c>
      <c r="BH21" s="337">
        <v>11.595000000000001</v>
      </c>
    </row>
    <row r="22" spans="12:60" x14ac:dyDescent="0.25">
      <c r="L22" s="379"/>
      <c r="M22" s="364" t="s">
        <v>537</v>
      </c>
      <c r="N22" s="202">
        <v>12.28</v>
      </c>
      <c r="O22" s="202">
        <v>12.244999999999999</v>
      </c>
      <c r="P22" s="202">
        <v>12.122</v>
      </c>
      <c r="Q22" s="202">
        <v>11.875</v>
      </c>
      <c r="R22" s="202">
        <v>12.143000000000001</v>
      </c>
      <c r="S22" s="202">
        <v>12.186999999999999</v>
      </c>
      <c r="T22" s="202">
        <v>12.089</v>
      </c>
      <c r="U22" s="202">
        <v>12.170999999999999</v>
      </c>
      <c r="V22" s="202">
        <v>11.994999999999999</v>
      </c>
      <c r="W22" s="202">
        <v>12.106</v>
      </c>
      <c r="X22" s="202">
        <v>12.134</v>
      </c>
      <c r="Y22" s="202">
        <v>12.395</v>
      </c>
      <c r="Z22" s="202">
        <v>12.948</v>
      </c>
      <c r="AA22" s="202">
        <v>12.728999999999999</v>
      </c>
      <c r="AB22" s="202">
        <v>12.644</v>
      </c>
      <c r="AC22" s="202">
        <v>13.435</v>
      </c>
      <c r="AD22" s="202">
        <v>13.801</v>
      </c>
      <c r="AE22" s="202">
        <v>14.084</v>
      </c>
      <c r="AF22" s="202">
        <v>14.33</v>
      </c>
      <c r="AG22" s="202">
        <v>14.01</v>
      </c>
      <c r="AH22" s="202">
        <v>14.233000000000001</v>
      </c>
      <c r="AI22" s="337">
        <v>14.573</v>
      </c>
      <c r="AK22" s="379"/>
      <c r="AL22" s="364" t="s">
        <v>537</v>
      </c>
      <c r="AM22" s="202">
        <v>10.292</v>
      </c>
      <c r="AN22" s="202">
        <v>9.9990000000000006</v>
      </c>
      <c r="AO22" s="202">
        <v>9.9380000000000006</v>
      </c>
      <c r="AP22" s="202">
        <v>9.923</v>
      </c>
      <c r="AQ22" s="202">
        <v>9.9380000000000006</v>
      </c>
      <c r="AR22" s="202">
        <v>9.9990000000000006</v>
      </c>
      <c r="AS22" s="202">
        <v>10.292999999999999</v>
      </c>
      <c r="AT22" s="202">
        <v>10.28</v>
      </c>
      <c r="AU22" s="202">
        <v>10.430999999999999</v>
      </c>
      <c r="AV22" s="202">
        <v>10.599</v>
      </c>
      <c r="AW22" s="202">
        <v>10.771000000000001</v>
      </c>
      <c r="AX22" s="202">
        <v>11.095000000000001</v>
      </c>
      <c r="AY22" s="202">
        <v>11.048999999999999</v>
      </c>
      <c r="AZ22" s="202">
        <v>10.836</v>
      </c>
      <c r="BA22" s="202">
        <v>11.45</v>
      </c>
      <c r="BB22" s="202">
        <v>11.593</v>
      </c>
      <c r="BC22" s="202">
        <v>11.134</v>
      </c>
      <c r="BD22" s="202">
        <v>11.282999999999999</v>
      </c>
      <c r="BE22" s="202">
        <v>11.397</v>
      </c>
      <c r="BF22" s="202">
        <v>11.493</v>
      </c>
      <c r="BG22" s="202">
        <v>11.577</v>
      </c>
      <c r="BH22" s="337">
        <v>11.586</v>
      </c>
    </row>
    <row r="23" spans="12:60" x14ac:dyDescent="0.25">
      <c r="M23" s="364" t="s">
        <v>538</v>
      </c>
      <c r="N23" s="202">
        <v>30</v>
      </c>
      <c r="O23" s="202">
        <v>20</v>
      </c>
      <c r="P23" s="202">
        <v>10</v>
      </c>
      <c r="Q23" s="202">
        <v>0</v>
      </c>
      <c r="R23" s="202">
        <v>10</v>
      </c>
      <c r="S23" s="202">
        <v>20</v>
      </c>
      <c r="T23" s="202">
        <v>30</v>
      </c>
      <c r="U23" s="202">
        <v>40</v>
      </c>
      <c r="V23" s="202">
        <v>50</v>
      </c>
      <c r="W23" s="202">
        <v>60</v>
      </c>
      <c r="X23" s="202">
        <v>70</v>
      </c>
      <c r="Y23" s="202">
        <v>80</v>
      </c>
      <c r="Z23" s="202">
        <v>90</v>
      </c>
      <c r="AA23" s="202">
        <v>100</v>
      </c>
      <c r="AB23" s="202">
        <v>110</v>
      </c>
      <c r="AC23" s="202">
        <v>120</v>
      </c>
      <c r="AD23" s="202">
        <v>130</v>
      </c>
      <c r="AE23" s="202">
        <v>140</v>
      </c>
      <c r="AF23" s="202">
        <v>150</v>
      </c>
      <c r="AG23" s="202">
        <v>160</v>
      </c>
      <c r="AH23" s="202">
        <v>170</v>
      </c>
      <c r="AI23" s="337">
        <v>180</v>
      </c>
      <c r="AL23" s="364" t="s">
        <v>538</v>
      </c>
      <c r="AM23" s="202">
        <v>30</v>
      </c>
      <c r="AN23" s="202">
        <v>20</v>
      </c>
      <c r="AO23" s="202">
        <v>10</v>
      </c>
      <c r="AP23" s="202">
        <v>0</v>
      </c>
      <c r="AQ23" s="202">
        <v>10</v>
      </c>
      <c r="AR23" s="202">
        <v>20</v>
      </c>
      <c r="AS23" s="202">
        <v>30</v>
      </c>
      <c r="AT23" s="202">
        <v>40</v>
      </c>
      <c r="AU23" s="202">
        <v>50</v>
      </c>
      <c r="AV23" s="202">
        <v>60</v>
      </c>
      <c r="AW23" s="202">
        <v>70</v>
      </c>
      <c r="AX23" s="202">
        <v>80</v>
      </c>
      <c r="AY23" s="202">
        <v>90</v>
      </c>
      <c r="AZ23" s="202">
        <v>100</v>
      </c>
      <c r="BA23" s="202">
        <v>110</v>
      </c>
      <c r="BB23" s="202">
        <v>120</v>
      </c>
      <c r="BC23" s="202">
        <v>130</v>
      </c>
      <c r="BD23" s="202">
        <v>140</v>
      </c>
      <c r="BE23" s="202">
        <v>150</v>
      </c>
      <c r="BF23" s="202">
        <v>160</v>
      </c>
      <c r="BG23" s="202">
        <v>170</v>
      </c>
      <c r="BH23" s="337">
        <v>180</v>
      </c>
    </row>
    <row r="24" spans="12:60" ht="15.75" thickBot="1" x14ac:dyDescent="0.3">
      <c r="M24" s="365" t="s">
        <v>539</v>
      </c>
      <c r="N24" s="332">
        <v>0</v>
      </c>
      <c r="O24" s="332">
        <v>0</v>
      </c>
      <c r="P24" s="332">
        <v>0</v>
      </c>
      <c r="Q24" s="332">
        <v>0</v>
      </c>
      <c r="R24" s="332">
        <v>0</v>
      </c>
      <c r="S24" s="332">
        <v>0</v>
      </c>
      <c r="T24" s="332">
        <v>0</v>
      </c>
      <c r="U24" s="332">
        <v>0</v>
      </c>
      <c r="V24" s="332">
        <v>0</v>
      </c>
      <c r="W24" s="332">
        <v>0</v>
      </c>
      <c r="X24" s="332">
        <v>0</v>
      </c>
      <c r="Y24" s="332">
        <v>0</v>
      </c>
      <c r="Z24" s="332">
        <v>0</v>
      </c>
      <c r="AA24" s="332">
        <v>0</v>
      </c>
      <c r="AB24" s="332">
        <v>0</v>
      </c>
      <c r="AC24" s="332">
        <v>0</v>
      </c>
      <c r="AD24" s="332">
        <v>0</v>
      </c>
      <c r="AE24" s="332">
        <v>0</v>
      </c>
      <c r="AF24" s="332">
        <v>0</v>
      </c>
      <c r="AG24" s="332">
        <v>0</v>
      </c>
      <c r="AH24" s="332">
        <v>0</v>
      </c>
      <c r="AI24" s="360">
        <v>0</v>
      </c>
      <c r="AL24" s="365" t="s">
        <v>539</v>
      </c>
      <c r="AM24" s="332">
        <v>0</v>
      </c>
      <c r="AN24" s="332">
        <v>0</v>
      </c>
      <c r="AO24" s="332">
        <v>0</v>
      </c>
      <c r="AP24" s="332">
        <v>0</v>
      </c>
      <c r="AQ24" s="332">
        <v>0</v>
      </c>
      <c r="AR24" s="332">
        <v>0</v>
      </c>
      <c r="AS24" s="332">
        <v>0</v>
      </c>
      <c r="AT24" s="332">
        <v>0</v>
      </c>
      <c r="AU24" s="332">
        <v>0</v>
      </c>
      <c r="AV24" s="332">
        <v>0</v>
      </c>
      <c r="AW24" s="332">
        <v>0</v>
      </c>
      <c r="AX24" s="332">
        <v>0</v>
      </c>
      <c r="AY24" s="332" t="s">
        <v>596</v>
      </c>
      <c r="AZ24" s="332">
        <v>0</v>
      </c>
      <c r="BA24" s="332">
        <v>0</v>
      </c>
      <c r="BB24" s="332">
        <v>0</v>
      </c>
      <c r="BC24" s="332">
        <v>0</v>
      </c>
      <c r="BD24" s="332">
        <v>0</v>
      </c>
      <c r="BE24" s="332">
        <v>0</v>
      </c>
      <c r="BF24" s="332">
        <v>0</v>
      </c>
      <c r="BG24" s="332">
        <v>0</v>
      </c>
      <c r="BH24" s="360">
        <v>0</v>
      </c>
    </row>
    <row r="25" spans="12:60" ht="15.75" thickBot="1" x14ac:dyDescent="0.3"/>
    <row r="26" spans="12:60" x14ac:dyDescent="0.25">
      <c r="L26" s="710" t="s">
        <v>440</v>
      </c>
      <c r="M26" s="367" t="s">
        <v>441</v>
      </c>
      <c r="N26" s="368"/>
      <c r="O26" s="368"/>
      <c r="P26" s="368"/>
      <c r="Q26" s="368" t="s">
        <v>442</v>
      </c>
      <c r="R26" s="369"/>
      <c r="AK26" s="710" t="s">
        <v>440</v>
      </c>
      <c r="AL26" s="367" t="s">
        <v>441</v>
      </c>
      <c r="AM26" s="368"/>
      <c r="AN26" s="368"/>
      <c r="AO26" s="368"/>
      <c r="AP26" s="368" t="s">
        <v>442</v>
      </c>
      <c r="AQ26" s="369"/>
    </row>
    <row r="27" spans="12:60" x14ac:dyDescent="0.25">
      <c r="L27" s="698"/>
      <c r="M27" s="366" t="s">
        <v>443</v>
      </c>
      <c r="N27" s="198"/>
      <c r="O27" s="198"/>
      <c r="P27" s="198"/>
      <c r="Q27" s="198"/>
      <c r="R27" s="200"/>
      <c r="AK27" s="698"/>
      <c r="AL27" s="366" t="s">
        <v>443</v>
      </c>
      <c r="AM27" s="198"/>
      <c r="AN27" s="198"/>
      <c r="AO27" s="198"/>
      <c r="AP27" s="198"/>
      <c r="AQ27" s="200"/>
    </row>
    <row r="28" spans="12:60" x14ac:dyDescent="0.25">
      <c r="L28" s="698"/>
      <c r="M28" s="366" t="s">
        <v>444</v>
      </c>
      <c r="N28" s="198">
        <v>0</v>
      </c>
      <c r="O28" s="198" t="s">
        <v>445</v>
      </c>
      <c r="P28" s="198">
        <v>0</v>
      </c>
      <c r="Q28" s="198"/>
      <c r="R28" s="200"/>
      <c r="AK28" s="698"/>
      <c r="AL28" s="366" t="s">
        <v>444</v>
      </c>
      <c r="AM28" s="198">
        <v>0</v>
      </c>
      <c r="AN28" s="198" t="s">
        <v>445</v>
      </c>
      <c r="AO28" s="198">
        <v>0</v>
      </c>
      <c r="AP28" s="198"/>
      <c r="AQ28" s="200"/>
    </row>
    <row r="29" spans="12:60" x14ac:dyDescent="0.25">
      <c r="L29" s="698"/>
      <c r="M29" s="366" t="s">
        <v>446</v>
      </c>
      <c r="N29" s="198"/>
      <c r="O29" s="198"/>
      <c r="P29" s="198"/>
      <c r="Q29" s="198"/>
      <c r="R29" s="200"/>
      <c r="AK29" s="698"/>
      <c r="AL29" s="366" t="s">
        <v>446</v>
      </c>
      <c r="AM29" s="198"/>
      <c r="AN29" s="198"/>
      <c r="AO29" s="198"/>
      <c r="AP29" s="198"/>
      <c r="AQ29" s="200"/>
    </row>
    <row r="30" spans="12:60" x14ac:dyDescent="0.25">
      <c r="L30" s="698"/>
      <c r="M30" s="366" t="s">
        <v>444</v>
      </c>
      <c r="N30" s="198">
        <v>30</v>
      </c>
      <c r="O30" s="198" t="s">
        <v>445</v>
      </c>
      <c r="P30" s="198">
        <v>30</v>
      </c>
      <c r="Q30" s="198"/>
      <c r="R30" s="200"/>
      <c r="AK30" s="698"/>
      <c r="AL30" s="366" t="s">
        <v>444</v>
      </c>
      <c r="AM30" s="198">
        <v>30</v>
      </c>
      <c r="AN30" s="198" t="s">
        <v>445</v>
      </c>
      <c r="AO30" s="198">
        <v>30</v>
      </c>
      <c r="AP30" s="198"/>
      <c r="AQ30" s="200"/>
    </row>
    <row r="31" spans="12:60" x14ac:dyDescent="0.25">
      <c r="L31" s="698"/>
      <c r="M31" s="366" t="s">
        <v>447</v>
      </c>
      <c r="N31" s="198">
        <v>180</v>
      </c>
      <c r="O31" s="198" t="s">
        <v>445</v>
      </c>
      <c r="P31" s="198"/>
      <c r="Q31" s="198"/>
      <c r="R31" s="200"/>
      <c r="AK31" s="698"/>
      <c r="AL31" s="366" t="s">
        <v>447</v>
      </c>
      <c r="AM31" s="198">
        <v>155.6</v>
      </c>
      <c r="AN31" s="198" t="s">
        <v>445</v>
      </c>
      <c r="AO31" s="198"/>
      <c r="AP31" s="198"/>
      <c r="AQ31" s="200"/>
    </row>
    <row r="32" spans="12:60" x14ac:dyDescent="0.25">
      <c r="L32" s="698"/>
      <c r="M32" s="366" t="s">
        <v>448</v>
      </c>
      <c r="N32" s="373">
        <v>3.1513</v>
      </c>
      <c r="O32" s="373" t="s">
        <v>449</v>
      </c>
      <c r="P32" s="373">
        <v>33.807400000000001</v>
      </c>
      <c r="Q32" s="373" t="s">
        <v>442</v>
      </c>
      <c r="R32" s="200">
        <v>972.81</v>
      </c>
      <c r="AK32" s="698"/>
      <c r="AL32" s="366" t="s">
        <v>448</v>
      </c>
      <c r="AM32" s="373">
        <v>3.1513</v>
      </c>
      <c r="AN32" s="373" t="s">
        <v>449</v>
      </c>
      <c r="AO32" s="373">
        <v>87.458600000000004</v>
      </c>
      <c r="AP32" s="373" t="s">
        <v>442</v>
      </c>
      <c r="AQ32" s="200">
        <v>2675.32</v>
      </c>
    </row>
    <row r="33" spans="12:43" x14ac:dyDescent="0.25">
      <c r="L33" s="381"/>
      <c r="M33" s="376"/>
      <c r="N33" s="377"/>
      <c r="O33" s="377"/>
      <c r="P33" s="377"/>
      <c r="Q33" s="377"/>
      <c r="R33" s="382"/>
      <c r="AK33" s="381"/>
      <c r="AL33" s="376"/>
      <c r="AM33" s="377"/>
      <c r="AN33" s="377"/>
      <c r="AO33" s="377"/>
      <c r="AP33" s="377"/>
      <c r="AQ33" s="382"/>
    </row>
    <row r="34" spans="12:43" x14ac:dyDescent="0.25">
      <c r="L34" s="697" t="s">
        <v>440</v>
      </c>
      <c r="M34" s="374" t="s">
        <v>450</v>
      </c>
      <c r="N34" s="375"/>
      <c r="O34" s="375"/>
      <c r="P34" s="375"/>
      <c r="Q34" s="375" t="s">
        <v>442</v>
      </c>
      <c r="R34" s="383"/>
      <c r="AK34" s="697" t="s">
        <v>440</v>
      </c>
      <c r="AL34" s="374" t="s">
        <v>450</v>
      </c>
      <c r="AM34" s="375"/>
      <c r="AN34" s="375"/>
      <c r="AO34" s="375"/>
      <c r="AP34" s="375" t="s">
        <v>442</v>
      </c>
      <c r="AQ34" s="383"/>
    </row>
    <row r="35" spans="12:43" x14ac:dyDescent="0.25">
      <c r="L35" s="698"/>
      <c r="M35" s="366" t="s">
        <v>443</v>
      </c>
      <c r="N35" s="198"/>
      <c r="O35" s="198"/>
      <c r="P35" s="198"/>
      <c r="Q35" s="198"/>
      <c r="R35" s="200"/>
      <c r="AK35" s="698"/>
      <c r="AL35" s="366" t="s">
        <v>443</v>
      </c>
      <c r="AM35" s="198"/>
      <c r="AN35" s="198"/>
      <c r="AO35" s="198"/>
      <c r="AP35" s="198"/>
      <c r="AQ35" s="200"/>
    </row>
    <row r="36" spans="12:43" x14ac:dyDescent="0.25">
      <c r="L36" s="698"/>
      <c r="M36" s="366" t="s">
        <v>444</v>
      </c>
      <c r="N36" s="198">
        <v>0</v>
      </c>
      <c r="O36" s="198" t="s">
        <v>445</v>
      </c>
      <c r="P36" s="198">
        <v>0</v>
      </c>
      <c r="Q36" s="198"/>
      <c r="R36" s="200"/>
      <c r="AK36" s="698"/>
      <c r="AL36" s="366" t="s">
        <v>444</v>
      </c>
      <c r="AM36" s="198">
        <v>0</v>
      </c>
      <c r="AN36" s="198" t="s">
        <v>445</v>
      </c>
      <c r="AO36" s="198">
        <v>0</v>
      </c>
      <c r="AP36" s="198"/>
      <c r="AQ36" s="200"/>
    </row>
    <row r="37" spans="12:43" x14ac:dyDescent="0.25">
      <c r="L37" s="698"/>
      <c r="M37" s="366" t="s">
        <v>446</v>
      </c>
      <c r="N37" s="198"/>
      <c r="O37" s="198"/>
      <c r="P37" s="198"/>
      <c r="Q37" s="198"/>
      <c r="R37" s="200"/>
      <c r="AK37" s="698"/>
      <c r="AL37" s="366" t="s">
        <v>446</v>
      </c>
      <c r="AM37" s="198"/>
      <c r="AN37" s="198"/>
      <c r="AO37" s="198"/>
      <c r="AP37" s="198"/>
      <c r="AQ37" s="200"/>
    </row>
    <row r="38" spans="12:43" x14ac:dyDescent="0.25">
      <c r="L38" s="698"/>
      <c r="M38" s="366" t="s">
        <v>444</v>
      </c>
      <c r="N38" s="198">
        <v>40</v>
      </c>
      <c r="O38" s="198" t="s">
        <v>445</v>
      </c>
      <c r="P38" s="198">
        <v>40</v>
      </c>
      <c r="Q38" s="198"/>
      <c r="R38" s="200"/>
      <c r="AK38" s="698"/>
      <c r="AL38" s="366" t="s">
        <v>444</v>
      </c>
      <c r="AM38" s="198">
        <v>40</v>
      </c>
      <c r="AN38" s="198" t="s">
        <v>445</v>
      </c>
      <c r="AO38" s="198">
        <v>40</v>
      </c>
      <c r="AP38" s="198"/>
      <c r="AQ38" s="200"/>
    </row>
    <row r="39" spans="12:43" x14ac:dyDescent="0.25">
      <c r="L39" s="698"/>
      <c r="M39" s="366" t="s">
        <v>451</v>
      </c>
      <c r="N39" s="198" t="s">
        <v>452</v>
      </c>
      <c r="O39" s="198" t="s">
        <v>445</v>
      </c>
      <c r="P39" s="198"/>
      <c r="Q39" s="198"/>
      <c r="R39" s="200"/>
      <c r="AK39" s="698"/>
      <c r="AL39" s="366" t="s">
        <v>451</v>
      </c>
      <c r="AM39" s="198" t="s">
        <v>452</v>
      </c>
      <c r="AN39" s="198" t="s">
        <v>445</v>
      </c>
      <c r="AO39" s="198"/>
      <c r="AP39" s="198"/>
      <c r="AQ39" s="200"/>
    </row>
    <row r="40" spans="12:43" x14ac:dyDescent="0.25">
      <c r="L40" s="698"/>
      <c r="M40" s="366" t="s">
        <v>447</v>
      </c>
      <c r="N40" s="198">
        <v>180</v>
      </c>
      <c r="O40" s="198" t="s">
        <v>445</v>
      </c>
      <c r="P40" s="198"/>
      <c r="Q40" s="198"/>
      <c r="R40" s="200"/>
      <c r="AK40" s="698"/>
      <c r="AL40" s="366" t="s">
        <v>447</v>
      </c>
      <c r="AM40" s="198">
        <v>155.6</v>
      </c>
      <c r="AN40" s="198" t="s">
        <v>445</v>
      </c>
      <c r="AO40" s="198"/>
      <c r="AP40" s="198"/>
      <c r="AQ40" s="200"/>
    </row>
    <row r="41" spans="12:43" x14ac:dyDescent="0.25">
      <c r="L41" s="698"/>
      <c r="M41" s="366" t="s">
        <v>448</v>
      </c>
      <c r="N41" s="373">
        <v>5.1566000000000001</v>
      </c>
      <c r="O41" s="373" t="s">
        <v>449</v>
      </c>
      <c r="P41" s="373">
        <v>54.125700000000002</v>
      </c>
      <c r="Q41" s="373" t="s">
        <v>442</v>
      </c>
      <c r="R41" s="200">
        <v>949.64</v>
      </c>
      <c r="AK41" s="698"/>
      <c r="AL41" s="366" t="s">
        <v>448</v>
      </c>
      <c r="AM41" s="373">
        <v>5.1566000000000001</v>
      </c>
      <c r="AN41" s="373" t="s">
        <v>449</v>
      </c>
      <c r="AO41" s="373">
        <v>135.6379</v>
      </c>
      <c r="AP41" s="373" t="s">
        <v>442</v>
      </c>
      <c r="AQ41" s="200">
        <v>2530.37</v>
      </c>
    </row>
    <row r="42" spans="12:43" x14ac:dyDescent="0.25">
      <c r="L42" s="381"/>
      <c r="M42" s="376"/>
      <c r="N42" s="377"/>
      <c r="O42" s="377"/>
      <c r="P42" s="377"/>
      <c r="Q42" s="377"/>
      <c r="R42" s="382"/>
      <c r="AK42" s="381"/>
      <c r="AL42" s="376"/>
      <c r="AM42" s="377"/>
      <c r="AN42" s="377"/>
      <c r="AO42" s="377"/>
      <c r="AP42" s="377"/>
      <c r="AQ42" s="382"/>
    </row>
    <row r="43" spans="12:43" x14ac:dyDescent="0.25">
      <c r="L43" s="697" t="s">
        <v>440</v>
      </c>
      <c r="M43" s="374" t="s">
        <v>453</v>
      </c>
      <c r="N43" s="375"/>
      <c r="O43" s="375"/>
      <c r="P43" s="375"/>
      <c r="Q43" s="375" t="s">
        <v>442</v>
      </c>
      <c r="R43" s="383"/>
      <c r="AK43" s="697" t="s">
        <v>440</v>
      </c>
      <c r="AL43" s="374" t="s">
        <v>453</v>
      </c>
      <c r="AM43" s="375"/>
      <c r="AN43" s="375"/>
      <c r="AO43" s="375"/>
      <c r="AP43" s="375" t="s">
        <v>442</v>
      </c>
      <c r="AQ43" s="383"/>
    </row>
    <row r="44" spans="12:43" x14ac:dyDescent="0.25">
      <c r="L44" s="698"/>
      <c r="M44" s="366" t="s">
        <v>443</v>
      </c>
      <c r="N44" s="198"/>
      <c r="O44" s="198"/>
      <c r="P44" s="198"/>
      <c r="Q44" s="198"/>
      <c r="R44" s="200"/>
      <c r="AK44" s="698"/>
      <c r="AL44" s="366" t="s">
        <v>443</v>
      </c>
      <c r="AM44" s="198"/>
      <c r="AN44" s="198"/>
      <c r="AO44" s="198"/>
      <c r="AP44" s="198"/>
      <c r="AQ44" s="200"/>
    </row>
    <row r="45" spans="12:43" x14ac:dyDescent="0.25">
      <c r="L45" s="698"/>
      <c r="M45" s="366" t="s">
        <v>444</v>
      </c>
      <c r="N45" s="198">
        <v>30</v>
      </c>
      <c r="O45" s="198" t="s">
        <v>445</v>
      </c>
      <c r="P45" s="198">
        <v>30</v>
      </c>
      <c r="Q45" s="198"/>
      <c r="R45" s="200"/>
      <c r="AK45" s="698"/>
      <c r="AL45" s="366" t="s">
        <v>444</v>
      </c>
      <c r="AM45" s="198">
        <v>30</v>
      </c>
      <c r="AN45" s="198" t="s">
        <v>445</v>
      </c>
      <c r="AO45" s="198">
        <v>30</v>
      </c>
      <c r="AP45" s="198"/>
      <c r="AQ45" s="200"/>
    </row>
    <row r="46" spans="12:43" x14ac:dyDescent="0.25">
      <c r="L46" s="698"/>
      <c r="M46" s="366" t="s">
        <v>446</v>
      </c>
      <c r="N46" s="198"/>
      <c r="O46" s="198"/>
      <c r="P46" s="198"/>
      <c r="Q46" s="198"/>
      <c r="R46" s="200"/>
      <c r="AK46" s="698"/>
      <c r="AL46" s="366" t="s">
        <v>446</v>
      </c>
      <c r="AM46" s="198"/>
      <c r="AN46" s="198"/>
      <c r="AO46" s="198"/>
      <c r="AP46" s="198"/>
      <c r="AQ46" s="200"/>
    </row>
    <row r="47" spans="12:43" x14ac:dyDescent="0.25">
      <c r="L47" s="698"/>
      <c r="M47" s="366" t="s">
        <v>444</v>
      </c>
      <c r="N47" s="198">
        <v>40</v>
      </c>
      <c r="O47" s="198" t="s">
        <v>445</v>
      </c>
      <c r="P47" s="198">
        <v>40</v>
      </c>
      <c r="Q47" s="198"/>
      <c r="R47" s="200"/>
      <c r="AK47" s="698"/>
      <c r="AL47" s="366" t="s">
        <v>444</v>
      </c>
      <c r="AM47" s="198">
        <v>40</v>
      </c>
      <c r="AN47" s="198" t="s">
        <v>445</v>
      </c>
      <c r="AO47" s="198">
        <v>40</v>
      </c>
      <c r="AP47" s="198"/>
      <c r="AQ47" s="200"/>
    </row>
    <row r="48" spans="12:43" x14ac:dyDescent="0.25">
      <c r="L48" s="698"/>
      <c r="M48" s="366" t="s">
        <v>451</v>
      </c>
      <c r="N48" s="198" t="s">
        <v>452</v>
      </c>
      <c r="O48" s="198" t="s">
        <v>445</v>
      </c>
      <c r="P48" s="198"/>
      <c r="Q48" s="198"/>
      <c r="R48" s="200"/>
      <c r="AK48" s="698"/>
      <c r="AL48" s="366" t="s">
        <v>451</v>
      </c>
      <c r="AM48" s="198" t="s">
        <v>452</v>
      </c>
      <c r="AN48" s="198" t="s">
        <v>445</v>
      </c>
      <c r="AO48" s="198"/>
      <c r="AP48" s="198"/>
      <c r="AQ48" s="200"/>
    </row>
    <row r="49" spans="12:43" x14ac:dyDescent="0.25">
      <c r="L49" s="698"/>
      <c r="M49" s="366" t="s">
        <v>447</v>
      </c>
      <c r="N49" s="198">
        <v>180</v>
      </c>
      <c r="O49" s="198" t="s">
        <v>445</v>
      </c>
      <c r="P49" s="198"/>
      <c r="Q49" s="198"/>
      <c r="R49" s="200"/>
      <c r="AK49" s="698"/>
      <c r="AL49" s="366" t="s">
        <v>447</v>
      </c>
      <c r="AM49" s="198">
        <v>155.6</v>
      </c>
      <c r="AN49" s="198" t="s">
        <v>445</v>
      </c>
      <c r="AO49" s="198"/>
      <c r="AP49" s="198"/>
      <c r="AQ49" s="200"/>
    </row>
    <row r="50" spans="12:43" x14ac:dyDescent="0.25">
      <c r="L50" s="698"/>
      <c r="M50" s="366" t="s">
        <v>448</v>
      </c>
      <c r="N50" s="373">
        <v>1.7189000000000001</v>
      </c>
      <c r="O50" s="373" t="s">
        <v>449</v>
      </c>
      <c r="P50" s="373">
        <v>20.318300000000001</v>
      </c>
      <c r="Q50" s="373" t="s">
        <v>442</v>
      </c>
      <c r="R50" s="200">
        <v>1082.05</v>
      </c>
      <c r="AK50" s="698"/>
      <c r="AL50" s="366" t="s">
        <v>448</v>
      </c>
      <c r="AM50" s="373">
        <v>1.7189000000000001</v>
      </c>
      <c r="AN50" s="373" t="s">
        <v>449</v>
      </c>
      <c r="AO50" s="373">
        <v>48.179299999999998</v>
      </c>
      <c r="AP50" s="373" t="s">
        <v>442</v>
      </c>
      <c r="AQ50" s="200">
        <v>2702.91</v>
      </c>
    </row>
    <row r="51" spans="12:43" x14ac:dyDescent="0.25">
      <c r="L51" s="381"/>
      <c r="M51" s="376"/>
      <c r="N51" s="377"/>
      <c r="O51" s="377"/>
      <c r="P51" s="377"/>
      <c r="Q51" s="377"/>
      <c r="R51" s="382"/>
      <c r="AK51" s="381"/>
      <c r="AL51" s="376"/>
      <c r="AM51" s="377"/>
      <c r="AN51" s="377"/>
      <c r="AO51" s="377"/>
      <c r="AP51" s="377"/>
      <c r="AQ51" s="382"/>
    </row>
    <row r="52" spans="12:43" x14ac:dyDescent="0.25">
      <c r="L52" s="697" t="s">
        <v>440</v>
      </c>
      <c r="M52" s="374" t="s">
        <v>454</v>
      </c>
      <c r="N52" s="375"/>
      <c r="O52" s="375"/>
      <c r="P52" s="375"/>
      <c r="Q52" s="375" t="s">
        <v>442</v>
      </c>
      <c r="R52" s="383"/>
      <c r="AK52" s="697" t="s">
        <v>440</v>
      </c>
      <c r="AL52" s="374" t="s">
        <v>454</v>
      </c>
      <c r="AM52" s="375"/>
      <c r="AN52" s="375"/>
      <c r="AO52" s="375"/>
      <c r="AP52" s="375" t="s">
        <v>442</v>
      </c>
      <c r="AQ52" s="383"/>
    </row>
    <row r="53" spans="12:43" x14ac:dyDescent="0.25">
      <c r="L53" s="698"/>
      <c r="M53" s="366" t="s">
        <v>455</v>
      </c>
      <c r="N53" s="198"/>
      <c r="O53" s="198"/>
      <c r="P53" s="198"/>
      <c r="Q53" s="198"/>
      <c r="R53" s="200"/>
      <c r="AK53" s="698"/>
      <c r="AL53" s="366" t="s">
        <v>455</v>
      </c>
      <c r="AM53" s="198"/>
      <c r="AN53" s="198"/>
      <c r="AO53" s="198"/>
      <c r="AP53" s="198"/>
      <c r="AQ53" s="200"/>
    </row>
    <row r="54" spans="12:43" x14ac:dyDescent="0.25">
      <c r="L54" s="698"/>
      <c r="M54" s="366" t="s">
        <v>444</v>
      </c>
      <c r="N54" s="198">
        <v>30</v>
      </c>
      <c r="O54" s="198" t="s">
        <v>445</v>
      </c>
      <c r="P54" s="198">
        <v>30</v>
      </c>
      <c r="Q54" s="198"/>
      <c r="R54" s="200"/>
      <c r="AK54" s="698"/>
      <c r="AL54" s="366" t="s">
        <v>444</v>
      </c>
      <c r="AM54" s="198">
        <v>30</v>
      </c>
      <c r="AN54" s="198" t="s">
        <v>445</v>
      </c>
      <c r="AO54" s="198">
        <v>30</v>
      </c>
      <c r="AP54" s="198"/>
      <c r="AQ54" s="200"/>
    </row>
    <row r="55" spans="12:43" x14ac:dyDescent="0.25">
      <c r="L55" s="698"/>
      <c r="M55" s="366" t="s">
        <v>446</v>
      </c>
      <c r="N55" s="198"/>
      <c r="O55" s="198"/>
      <c r="P55" s="198"/>
      <c r="Q55" s="198"/>
      <c r="R55" s="200"/>
      <c r="AK55" s="698"/>
      <c r="AL55" s="366" t="s">
        <v>446</v>
      </c>
      <c r="AM55" s="198"/>
      <c r="AN55" s="198"/>
      <c r="AO55" s="198"/>
      <c r="AP55" s="198"/>
      <c r="AQ55" s="200"/>
    </row>
    <row r="56" spans="12:43" x14ac:dyDescent="0.25">
      <c r="L56" s="698"/>
      <c r="M56" s="366" t="s">
        <v>444</v>
      </c>
      <c r="N56" s="198">
        <v>90</v>
      </c>
      <c r="O56" s="198" t="s">
        <v>445</v>
      </c>
      <c r="P56" s="198">
        <v>90</v>
      </c>
      <c r="Q56" s="198"/>
      <c r="R56" s="200"/>
      <c r="AK56" s="698"/>
      <c r="AL56" s="366" t="s">
        <v>444</v>
      </c>
      <c r="AM56" s="198">
        <v>90</v>
      </c>
      <c r="AN56" s="198" t="s">
        <v>445</v>
      </c>
      <c r="AO56" s="198">
        <v>90</v>
      </c>
      <c r="AP56" s="198"/>
      <c r="AQ56" s="200"/>
    </row>
    <row r="57" spans="12:43" x14ac:dyDescent="0.25">
      <c r="L57" s="698"/>
      <c r="M57" s="366" t="s">
        <v>456</v>
      </c>
      <c r="N57" s="198">
        <v>107.3</v>
      </c>
      <c r="O57" s="198" t="s">
        <v>445</v>
      </c>
      <c r="P57" s="198"/>
      <c r="Q57" s="198"/>
      <c r="R57" s="200"/>
      <c r="AK57" s="698"/>
      <c r="AL57" s="366" t="s">
        <v>456</v>
      </c>
      <c r="AM57" s="198">
        <v>99.1</v>
      </c>
      <c r="AN57" s="198" t="s">
        <v>445</v>
      </c>
      <c r="AO57" s="198"/>
      <c r="AP57" s="198"/>
      <c r="AQ57" s="200"/>
    </row>
    <row r="58" spans="12:43" x14ac:dyDescent="0.25">
      <c r="L58" s="698"/>
      <c r="M58" s="366" t="s">
        <v>448</v>
      </c>
      <c r="N58" s="373">
        <v>0.2</v>
      </c>
      <c r="O58" s="373" t="s">
        <v>71</v>
      </c>
      <c r="P58" s="373">
        <v>3.3479999999999999</v>
      </c>
      <c r="Q58" s="373" t="s">
        <v>442</v>
      </c>
      <c r="R58" s="200">
        <v>1574</v>
      </c>
      <c r="AK58" s="698"/>
      <c r="AL58" s="366" t="s">
        <v>448</v>
      </c>
      <c r="AM58" s="373">
        <v>0.2</v>
      </c>
      <c r="AN58" s="373" t="s">
        <v>71</v>
      </c>
      <c r="AO58" s="373">
        <v>5.2439999999999998</v>
      </c>
      <c r="AP58" s="373" t="s">
        <v>442</v>
      </c>
      <c r="AQ58" s="200">
        <v>2522</v>
      </c>
    </row>
    <row r="59" spans="12:43" x14ac:dyDescent="0.25">
      <c r="L59" s="698"/>
      <c r="M59" s="366" t="s">
        <v>457</v>
      </c>
      <c r="N59" s="198"/>
      <c r="O59" s="198"/>
      <c r="P59" s="198"/>
      <c r="Q59" s="198"/>
      <c r="R59" s="200"/>
      <c r="AK59" s="698"/>
      <c r="AL59" s="366" t="s">
        <v>457</v>
      </c>
      <c r="AM59" s="198"/>
      <c r="AN59" s="198"/>
      <c r="AO59" s="198"/>
      <c r="AP59" s="198"/>
      <c r="AQ59" s="200"/>
    </row>
    <row r="60" spans="12:43" x14ac:dyDescent="0.25">
      <c r="L60" s="698"/>
      <c r="M60" s="366" t="s">
        <v>458</v>
      </c>
      <c r="N60" s="198"/>
      <c r="O60" s="198" t="s">
        <v>445</v>
      </c>
      <c r="P60" s="198">
        <v>90</v>
      </c>
      <c r="Q60" s="198"/>
      <c r="R60" s="200"/>
      <c r="AK60" s="698"/>
      <c r="AL60" s="366" t="s">
        <v>458</v>
      </c>
      <c r="AM60" s="198"/>
      <c r="AN60" s="198" t="s">
        <v>445</v>
      </c>
      <c r="AO60" s="198">
        <v>90</v>
      </c>
      <c r="AP60" s="198"/>
      <c r="AQ60" s="200"/>
    </row>
    <row r="61" spans="12:43" x14ac:dyDescent="0.25">
      <c r="L61" s="381"/>
      <c r="M61" s="376"/>
      <c r="N61" s="377"/>
      <c r="O61" s="377"/>
      <c r="P61" s="377"/>
      <c r="Q61" s="377"/>
      <c r="R61" s="382"/>
      <c r="AK61" s="381"/>
      <c r="AL61" s="376"/>
      <c r="AM61" s="377"/>
      <c r="AN61" s="377"/>
      <c r="AO61" s="377"/>
      <c r="AP61" s="377"/>
      <c r="AQ61" s="382"/>
    </row>
    <row r="62" spans="12:43" x14ac:dyDescent="0.25">
      <c r="L62" s="697" t="s">
        <v>440</v>
      </c>
      <c r="M62" s="374" t="s">
        <v>459</v>
      </c>
      <c r="N62" s="375"/>
      <c r="O62" s="375"/>
      <c r="P62" s="375"/>
      <c r="Q62" s="375" t="s">
        <v>442</v>
      </c>
      <c r="R62" s="383"/>
      <c r="AK62" s="697" t="s">
        <v>440</v>
      </c>
      <c r="AL62" s="374" t="s">
        <v>459</v>
      </c>
      <c r="AM62" s="375"/>
      <c r="AN62" s="375"/>
      <c r="AO62" s="375"/>
      <c r="AP62" s="375" t="s">
        <v>442</v>
      </c>
      <c r="AQ62" s="383"/>
    </row>
    <row r="63" spans="12:43" x14ac:dyDescent="0.25">
      <c r="L63" s="698"/>
      <c r="M63" s="366" t="s">
        <v>448</v>
      </c>
      <c r="N63" s="373">
        <v>25</v>
      </c>
      <c r="O63" s="373" t="s">
        <v>445</v>
      </c>
      <c r="P63" s="373">
        <v>107.3</v>
      </c>
      <c r="Q63" s="373" t="s">
        <v>442</v>
      </c>
      <c r="R63" s="200">
        <v>329.09</v>
      </c>
      <c r="AK63" s="698"/>
      <c r="AL63" s="366" t="s">
        <v>448</v>
      </c>
      <c r="AM63" s="373">
        <v>25</v>
      </c>
      <c r="AN63" s="373" t="s">
        <v>445</v>
      </c>
      <c r="AO63" s="373">
        <v>99.1</v>
      </c>
      <c r="AP63" s="373" t="s">
        <v>442</v>
      </c>
      <c r="AQ63" s="200">
        <v>296.36</v>
      </c>
    </row>
    <row r="64" spans="12:43" x14ac:dyDescent="0.25">
      <c r="L64" s="381"/>
      <c r="M64" s="376"/>
      <c r="N64" s="377"/>
      <c r="O64" s="377"/>
      <c r="P64" s="377"/>
      <c r="Q64" s="377"/>
      <c r="R64" s="382"/>
      <c r="AK64" s="381"/>
      <c r="AL64" s="376"/>
      <c r="AM64" s="377"/>
      <c r="AN64" s="377"/>
      <c r="AO64" s="377"/>
      <c r="AP64" s="377"/>
      <c r="AQ64" s="382"/>
    </row>
    <row r="65" spans="12:43" x14ac:dyDescent="0.25">
      <c r="L65" s="697" t="s">
        <v>440</v>
      </c>
      <c r="M65" s="374" t="s">
        <v>460</v>
      </c>
      <c r="N65" s="375"/>
      <c r="O65" s="375"/>
      <c r="P65" s="375"/>
      <c r="Q65" s="375" t="s">
        <v>442</v>
      </c>
      <c r="R65" s="383"/>
      <c r="AK65" s="697" t="s">
        <v>440</v>
      </c>
      <c r="AL65" s="374" t="s">
        <v>460</v>
      </c>
      <c r="AM65" s="375"/>
      <c r="AN65" s="375"/>
      <c r="AO65" s="375"/>
      <c r="AP65" s="375" t="s">
        <v>442</v>
      </c>
      <c r="AQ65" s="383"/>
    </row>
    <row r="66" spans="12:43" x14ac:dyDescent="0.25">
      <c r="L66" s="698"/>
      <c r="M66" s="366" t="s">
        <v>444</v>
      </c>
      <c r="N66" s="198">
        <v>0</v>
      </c>
      <c r="O66" s="198" t="s">
        <v>445</v>
      </c>
      <c r="P66" s="198"/>
      <c r="Q66" s="198"/>
      <c r="R66" s="200"/>
      <c r="AK66" s="698"/>
      <c r="AL66" s="366" t="s">
        <v>444</v>
      </c>
      <c r="AM66" s="198">
        <v>0</v>
      </c>
      <c r="AN66" s="198" t="s">
        <v>445</v>
      </c>
      <c r="AO66" s="198"/>
      <c r="AP66" s="198"/>
      <c r="AQ66" s="200"/>
    </row>
    <row r="67" spans="12:43" x14ac:dyDescent="0.25">
      <c r="L67" s="698"/>
      <c r="M67" s="366" t="s">
        <v>448</v>
      </c>
      <c r="N67" s="373">
        <v>0.15</v>
      </c>
      <c r="O67" s="373" t="s">
        <v>71</v>
      </c>
      <c r="P67" s="373">
        <v>6.1050000000000004</v>
      </c>
      <c r="Q67" s="373" t="s">
        <v>442</v>
      </c>
      <c r="R67" s="200">
        <v>3970</v>
      </c>
      <c r="AK67" s="698"/>
      <c r="AL67" s="366" t="s">
        <v>448</v>
      </c>
      <c r="AM67" s="373">
        <v>0.15</v>
      </c>
      <c r="AN67" s="373" t="s">
        <v>71</v>
      </c>
      <c r="AO67" s="373">
        <v>12.016</v>
      </c>
      <c r="AP67" s="373" t="s">
        <v>442</v>
      </c>
      <c r="AQ67" s="200">
        <v>7910.67</v>
      </c>
    </row>
    <row r="68" spans="12:43" x14ac:dyDescent="0.25">
      <c r="L68" s="381"/>
      <c r="M68" s="376"/>
      <c r="N68" s="377"/>
      <c r="O68" s="377"/>
      <c r="P68" s="377"/>
      <c r="Q68" s="377"/>
      <c r="R68" s="382"/>
      <c r="AK68" s="381"/>
      <c r="AL68" s="376"/>
      <c r="AM68" s="377"/>
      <c r="AN68" s="377"/>
      <c r="AO68" s="377"/>
      <c r="AP68" s="377"/>
      <c r="AQ68" s="382"/>
    </row>
    <row r="69" spans="12:43" ht="30" x14ac:dyDescent="0.25">
      <c r="L69" s="697" t="s">
        <v>440</v>
      </c>
      <c r="M69" s="374" t="s">
        <v>461</v>
      </c>
      <c r="N69" s="375"/>
      <c r="O69" s="375"/>
      <c r="P69" s="375"/>
      <c r="Q69" s="375" t="s">
        <v>442</v>
      </c>
      <c r="R69" s="383"/>
      <c r="AK69" s="697" t="s">
        <v>440</v>
      </c>
      <c r="AL69" s="374" t="s">
        <v>461</v>
      </c>
      <c r="AM69" s="375"/>
      <c r="AN69" s="375"/>
      <c r="AO69" s="375"/>
      <c r="AP69" s="375" t="s">
        <v>442</v>
      </c>
      <c r="AQ69" s="383"/>
    </row>
    <row r="70" spans="12:43" ht="30" x14ac:dyDescent="0.25">
      <c r="L70" s="698"/>
      <c r="M70" s="366" t="s">
        <v>462</v>
      </c>
      <c r="N70" s="198"/>
      <c r="O70" s="198"/>
      <c r="P70" s="198"/>
      <c r="Q70" s="198"/>
      <c r="R70" s="200"/>
      <c r="AK70" s="698"/>
      <c r="AL70" s="366" t="s">
        <v>462</v>
      </c>
      <c r="AM70" s="198"/>
      <c r="AN70" s="198"/>
      <c r="AO70" s="198"/>
      <c r="AP70" s="198"/>
      <c r="AQ70" s="200"/>
    </row>
    <row r="71" spans="12:43" x14ac:dyDescent="0.25">
      <c r="L71" s="698"/>
      <c r="M71" s="366" t="s">
        <v>463</v>
      </c>
      <c r="N71" s="198">
        <v>0</v>
      </c>
      <c r="O71" s="198"/>
      <c r="P71" s="198"/>
      <c r="Q71" s="198"/>
      <c r="R71" s="200"/>
      <c r="AK71" s="698"/>
      <c r="AL71" s="366" t="s">
        <v>463</v>
      </c>
      <c r="AM71" s="198">
        <v>0</v>
      </c>
      <c r="AN71" s="198"/>
      <c r="AO71" s="198"/>
      <c r="AP71" s="198"/>
      <c r="AQ71" s="200"/>
    </row>
    <row r="72" spans="12:43" x14ac:dyDescent="0.25">
      <c r="L72" s="698"/>
      <c r="M72" s="366" t="s">
        <v>464</v>
      </c>
      <c r="N72" s="198">
        <v>75</v>
      </c>
      <c r="O72" s="198" t="s">
        <v>267</v>
      </c>
      <c r="P72" s="198"/>
      <c r="Q72" s="198"/>
      <c r="R72" s="200"/>
      <c r="AK72" s="698"/>
      <c r="AL72" s="366" t="s">
        <v>464</v>
      </c>
      <c r="AM72" s="198">
        <v>75</v>
      </c>
      <c r="AN72" s="198" t="s">
        <v>267</v>
      </c>
      <c r="AO72" s="198"/>
      <c r="AP72" s="198"/>
      <c r="AQ72" s="200"/>
    </row>
    <row r="73" spans="12:43" x14ac:dyDescent="0.25">
      <c r="L73" s="698"/>
      <c r="M73" s="366" t="s">
        <v>465</v>
      </c>
      <c r="N73" s="198">
        <v>0</v>
      </c>
      <c r="O73" s="198" t="s">
        <v>71</v>
      </c>
      <c r="P73" s="198"/>
      <c r="Q73" s="198"/>
      <c r="R73" s="200"/>
      <c r="AK73" s="698"/>
      <c r="AL73" s="366" t="s">
        <v>465</v>
      </c>
      <c r="AM73" s="198">
        <v>0</v>
      </c>
      <c r="AN73" s="198" t="s">
        <v>71</v>
      </c>
      <c r="AO73" s="198"/>
      <c r="AP73" s="198"/>
      <c r="AQ73" s="200"/>
    </row>
    <row r="74" spans="12:43" x14ac:dyDescent="0.25">
      <c r="L74" s="698"/>
      <c r="M74" s="366" t="s">
        <v>466</v>
      </c>
      <c r="N74" s="198">
        <v>0</v>
      </c>
      <c r="O74" s="198"/>
      <c r="P74" s="198"/>
      <c r="Q74" s="198"/>
      <c r="R74" s="200"/>
      <c r="AK74" s="698"/>
      <c r="AL74" s="366" t="s">
        <v>466</v>
      </c>
      <c r="AM74" s="198">
        <v>0</v>
      </c>
      <c r="AN74" s="198"/>
      <c r="AO74" s="198"/>
      <c r="AP74" s="198"/>
      <c r="AQ74" s="200"/>
    </row>
    <row r="75" spans="12:43" x14ac:dyDescent="0.25">
      <c r="L75" s="698"/>
      <c r="M75" s="366" t="s">
        <v>467</v>
      </c>
      <c r="N75" s="373">
        <v>10</v>
      </c>
      <c r="O75" s="373" t="s">
        <v>445</v>
      </c>
      <c r="P75" s="373">
        <v>0</v>
      </c>
      <c r="Q75" s="373" t="s">
        <v>442</v>
      </c>
      <c r="R75" s="200">
        <v>100</v>
      </c>
      <c r="AK75" s="698"/>
      <c r="AL75" s="366" t="s">
        <v>467</v>
      </c>
      <c r="AM75" s="373">
        <v>10</v>
      </c>
      <c r="AN75" s="373" t="s">
        <v>445</v>
      </c>
      <c r="AO75" s="373">
        <v>0</v>
      </c>
      <c r="AP75" s="373" t="s">
        <v>442</v>
      </c>
      <c r="AQ75" s="200">
        <v>99.85</v>
      </c>
    </row>
    <row r="76" spans="12:43" x14ac:dyDescent="0.25">
      <c r="L76" s="698"/>
      <c r="M76" s="366" t="s">
        <v>457</v>
      </c>
      <c r="N76" s="198"/>
      <c r="O76" s="198"/>
      <c r="P76" s="198"/>
      <c r="Q76" s="198"/>
      <c r="R76" s="200"/>
      <c r="AK76" s="698"/>
      <c r="AL76" s="366" t="s">
        <v>457</v>
      </c>
      <c r="AM76" s="198"/>
      <c r="AN76" s="198"/>
      <c r="AO76" s="198"/>
      <c r="AP76" s="198"/>
      <c r="AQ76" s="200"/>
    </row>
    <row r="77" spans="12:43" x14ac:dyDescent="0.25">
      <c r="L77" s="698"/>
      <c r="M77" s="366" t="s">
        <v>468</v>
      </c>
      <c r="N77" s="198"/>
      <c r="O77" s="198" t="s">
        <v>71</v>
      </c>
      <c r="P77" s="198">
        <v>0</v>
      </c>
      <c r="Q77" s="198"/>
      <c r="R77" s="200"/>
      <c r="AK77" s="698"/>
      <c r="AL77" s="366" t="s">
        <v>468</v>
      </c>
      <c r="AM77" s="198"/>
      <c r="AN77" s="198" t="s">
        <v>71</v>
      </c>
      <c r="AO77" s="198">
        <v>0</v>
      </c>
      <c r="AP77" s="198"/>
      <c r="AQ77" s="200"/>
    </row>
    <row r="78" spans="12:43" x14ac:dyDescent="0.25">
      <c r="L78" s="381"/>
      <c r="M78" s="376"/>
      <c r="N78" s="377"/>
      <c r="O78" s="377"/>
      <c r="P78" s="377"/>
      <c r="Q78" s="377"/>
      <c r="R78" s="382"/>
      <c r="AK78" s="381"/>
      <c r="AL78" s="376"/>
      <c r="AM78" s="377"/>
      <c r="AN78" s="377"/>
      <c r="AO78" s="377"/>
      <c r="AP78" s="377"/>
      <c r="AQ78" s="382"/>
    </row>
    <row r="79" spans="12:43" x14ac:dyDescent="0.25">
      <c r="L79" s="697" t="s">
        <v>440</v>
      </c>
      <c r="M79" s="374" t="s">
        <v>469</v>
      </c>
      <c r="N79" s="375"/>
      <c r="O79" s="375"/>
      <c r="P79" s="375"/>
      <c r="Q79" s="375" t="s">
        <v>442</v>
      </c>
      <c r="R79" s="383"/>
      <c r="AK79" s="697" t="s">
        <v>440</v>
      </c>
      <c r="AL79" s="374" t="s">
        <v>469</v>
      </c>
      <c r="AM79" s="375"/>
      <c r="AN79" s="375"/>
      <c r="AO79" s="375"/>
      <c r="AP79" s="375" t="s">
        <v>442</v>
      </c>
      <c r="AQ79" s="383"/>
    </row>
    <row r="80" spans="12:43" x14ac:dyDescent="0.25">
      <c r="L80" s="698"/>
      <c r="M80" s="366" t="s">
        <v>470</v>
      </c>
      <c r="N80" s="198"/>
      <c r="O80" s="198"/>
      <c r="P80" s="198"/>
      <c r="Q80" s="198"/>
      <c r="R80" s="200"/>
      <c r="AK80" s="698"/>
      <c r="AL80" s="366" t="s">
        <v>470</v>
      </c>
      <c r="AM80" s="198"/>
      <c r="AN80" s="198"/>
      <c r="AO80" s="198"/>
      <c r="AP80" s="198"/>
      <c r="AQ80" s="200"/>
    </row>
    <row r="81" spans="12:43" x14ac:dyDescent="0.25">
      <c r="L81" s="698"/>
      <c r="M81" s="366" t="s">
        <v>471</v>
      </c>
      <c r="N81" s="198">
        <v>0.99960000000000004</v>
      </c>
      <c r="O81" s="198"/>
      <c r="P81" s="198"/>
      <c r="Q81" s="198"/>
      <c r="R81" s="200"/>
      <c r="AK81" s="698"/>
      <c r="AL81" s="366" t="s">
        <v>471</v>
      </c>
      <c r="AM81" s="198">
        <v>0.99960000000000004</v>
      </c>
      <c r="AN81" s="198"/>
      <c r="AO81" s="198"/>
      <c r="AP81" s="198"/>
      <c r="AQ81" s="200"/>
    </row>
    <row r="82" spans="12:43" x14ac:dyDescent="0.25">
      <c r="L82" s="698"/>
      <c r="M82" s="366" t="s">
        <v>472</v>
      </c>
      <c r="N82" s="198">
        <v>0</v>
      </c>
      <c r="O82" s="198" t="s">
        <v>473</v>
      </c>
      <c r="P82" s="198"/>
      <c r="Q82" s="198"/>
      <c r="R82" s="200"/>
      <c r="AK82" s="698"/>
      <c r="AL82" s="366" t="s">
        <v>472</v>
      </c>
      <c r="AM82" s="198">
        <v>0</v>
      </c>
      <c r="AN82" s="198" t="s">
        <v>473</v>
      </c>
      <c r="AO82" s="198"/>
      <c r="AP82" s="198"/>
      <c r="AQ82" s="200"/>
    </row>
    <row r="83" spans="12:43" x14ac:dyDescent="0.25">
      <c r="L83" s="698"/>
      <c r="M83" s="366" t="s">
        <v>474</v>
      </c>
      <c r="N83" s="198">
        <v>510</v>
      </c>
      <c r="O83" s="198" t="s">
        <v>475</v>
      </c>
      <c r="P83" s="198"/>
      <c r="Q83" s="198"/>
      <c r="R83" s="200"/>
      <c r="AK83" s="698"/>
      <c r="AL83" s="366" t="s">
        <v>474</v>
      </c>
      <c r="AM83" s="198">
        <v>510</v>
      </c>
      <c r="AN83" s="198" t="s">
        <v>475</v>
      </c>
      <c r="AO83" s="198"/>
      <c r="AP83" s="198"/>
      <c r="AQ83" s="200"/>
    </row>
    <row r="84" spans="12:43" x14ac:dyDescent="0.25">
      <c r="L84" s="698"/>
      <c r="M84" s="366" t="s">
        <v>476</v>
      </c>
      <c r="N84" s="198">
        <v>-0.12</v>
      </c>
      <c r="O84" s="198" t="s">
        <v>71</v>
      </c>
      <c r="P84" s="198"/>
      <c r="Q84" s="198"/>
      <c r="R84" s="200"/>
      <c r="AK84" s="698"/>
      <c r="AL84" s="366" t="s">
        <v>476</v>
      </c>
      <c r="AM84" s="198">
        <v>-0.51200000000000001</v>
      </c>
      <c r="AN84" s="198" t="s">
        <v>71</v>
      </c>
      <c r="AO84" s="198"/>
      <c r="AP84" s="198"/>
      <c r="AQ84" s="200"/>
    </row>
    <row r="85" spans="12:43" x14ac:dyDescent="0.25">
      <c r="L85" s="698"/>
      <c r="M85" s="366" t="s">
        <v>466</v>
      </c>
      <c r="N85" s="198">
        <v>0</v>
      </c>
      <c r="O85" s="198"/>
      <c r="P85" s="198"/>
      <c r="Q85" s="198"/>
      <c r="R85" s="200"/>
      <c r="AK85" s="698"/>
      <c r="AL85" s="366" t="s">
        <v>466</v>
      </c>
      <c r="AM85" s="198">
        <v>0</v>
      </c>
      <c r="AN85" s="198"/>
      <c r="AO85" s="198"/>
      <c r="AP85" s="198"/>
      <c r="AQ85" s="200"/>
    </row>
    <row r="86" spans="12:43" x14ac:dyDescent="0.25">
      <c r="L86" s="698"/>
      <c r="M86" s="366" t="s">
        <v>467</v>
      </c>
      <c r="N86" s="373">
        <v>10</v>
      </c>
      <c r="O86" s="373" t="s">
        <v>445</v>
      </c>
      <c r="P86" s="373">
        <v>0</v>
      </c>
      <c r="Q86" s="373" t="s">
        <v>442</v>
      </c>
      <c r="R86" s="200">
        <v>100</v>
      </c>
      <c r="AK86" s="698"/>
      <c r="AL86" s="366" t="s">
        <v>467</v>
      </c>
      <c r="AM86" s="373">
        <v>10</v>
      </c>
      <c r="AN86" s="373" t="s">
        <v>445</v>
      </c>
      <c r="AO86" s="373">
        <v>0</v>
      </c>
      <c r="AP86" s="373" t="s">
        <v>442</v>
      </c>
      <c r="AQ86" s="200">
        <v>99.85</v>
      </c>
    </row>
    <row r="87" spans="12:43" x14ac:dyDescent="0.25">
      <c r="L87" s="698"/>
      <c r="M87" s="366" t="s">
        <v>457</v>
      </c>
      <c r="N87" s="198"/>
      <c r="O87" s="198"/>
      <c r="P87" s="198"/>
      <c r="Q87" s="198"/>
      <c r="R87" s="200"/>
      <c r="AK87" s="698"/>
      <c r="AL87" s="366" t="s">
        <v>457</v>
      </c>
      <c r="AM87" s="198"/>
      <c r="AN87" s="198"/>
      <c r="AO87" s="198"/>
      <c r="AP87" s="198"/>
      <c r="AQ87" s="200"/>
    </row>
    <row r="88" spans="12:43" x14ac:dyDescent="0.25">
      <c r="L88" s="698"/>
      <c r="M88" s="366" t="s">
        <v>468</v>
      </c>
      <c r="N88" s="198"/>
      <c r="O88" s="198" t="s">
        <v>71</v>
      </c>
      <c r="P88" s="198">
        <v>0</v>
      </c>
      <c r="Q88" s="198"/>
      <c r="R88" s="200"/>
      <c r="AK88" s="698"/>
      <c r="AL88" s="366" t="s">
        <v>468</v>
      </c>
      <c r="AM88" s="198"/>
      <c r="AN88" s="198" t="s">
        <v>71</v>
      </c>
      <c r="AO88" s="198">
        <v>0</v>
      </c>
      <c r="AP88" s="198"/>
      <c r="AQ88" s="200"/>
    </row>
    <row r="89" spans="12:43" x14ac:dyDescent="0.25">
      <c r="L89" s="381"/>
      <c r="M89" s="376"/>
      <c r="N89" s="377"/>
      <c r="O89" s="377"/>
      <c r="P89" s="377"/>
      <c r="Q89" s="377"/>
      <c r="R89" s="382"/>
      <c r="AK89" s="381"/>
      <c r="AL89" s="376"/>
      <c r="AM89" s="377"/>
      <c r="AN89" s="377"/>
      <c r="AO89" s="377"/>
      <c r="AP89" s="377"/>
      <c r="AQ89" s="382"/>
    </row>
    <row r="90" spans="12:43" x14ac:dyDescent="0.25">
      <c r="L90" s="697" t="s">
        <v>440</v>
      </c>
      <c r="M90" s="374" t="s">
        <v>477</v>
      </c>
      <c r="N90" s="375"/>
      <c r="O90" s="375"/>
      <c r="P90" s="375"/>
      <c r="Q90" s="375" t="s">
        <v>442</v>
      </c>
      <c r="R90" s="383"/>
      <c r="AK90" s="697" t="s">
        <v>440</v>
      </c>
      <c r="AL90" s="374" t="s">
        <v>477</v>
      </c>
      <c r="AM90" s="375"/>
      <c r="AN90" s="375"/>
      <c r="AO90" s="375"/>
      <c r="AP90" s="375" t="s">
        <v>442</v>
      </c>
      <c r="AQ90" s="383"/>
    </row>
    <row r="91" spans="12:43" ht="30" x14ac:dyDescent="0.25">
      <c r="L91" s="698"/>
      <c r="M91" s="366" t="s">
        <v>479</v>
      </c>
      <c r="N91" s="198"/>
      <c r="O91" s="198"/>
      <c r="P91" s="198"/>
      <c r="Q91" s="198"/>
      <c r="R91" s="200"/>
      <c r="AK91" s="698"/>
      <c r="AL91" s="366" t="s">
        <v>479</v>
      </c>
      <c r="AM91" s="198"/>
      <c r="AN91" s="198"/>
      <c r="AO91" s="198"/>
      <c r="AP91" s="198"/>
      <c r="AQ91" s="200"/>
    </row>
    <row r="92" spans="12:43" x14ac:dyDescent="0.25">
      <c r="L92" s="698"/>
      <c r="M92" s="366" t="s">
        <v>471</v>
      </c>
      <c r="N92" s="198">
        <v>0.99965999999999999</v>
      </c>
      <c r="O92" s="198"/>
      <c r="P92" s="198"/>
      <c r="Q92" s="198"/>
      <c r="R92" s="200"/>
      <c r="AK92" s="698"/>
      <c r="AL92" s="366" t="s">
        <v>471</v>
      </c>
      <c r="AM92" s="198">
        <v>0.99965999999999999</v>
      </c>
      <c r="AN92" s="198"/>
      <c r="AO92" s="198"/>
      <c r="AP92" s="198"/>
      <c r="AQ92" s="200"/>
    </row>
    <row r="93" spans="12:43" x14ac:dyDescent="0.25">
      <c r="L93" s="698"/>
      <c r="M93" s="366" t="s">
        <v>480</v>
      </c>
      <c r="N93" s="198">
        <v>504</v>
      </c>
      <c r="O93" s="198" t="s">
        <v>481</v>
      </c>
      <c r="P93" s="198"/>
      <c r="Q93" s="198"/>
      <c r="R93" s="200"/>
      <c r="AK93" s="698"/>
      <c r="AL93" s="366" t="s">
        <v>480</v>
      </c>
      <c r="AM93" s="198">
        <v>504</v>
      </c>
      <c r="AN93" s="198" t="s">
        <v>481</v>
      </c>
      <c r="AO93" s="198"/>
      <c r="AP93" s="198"/>
      <c r="AQ93" s="200"/>
    </row>
    <row r="94" spans="12:43" ht="30" x14ac:dyDescent="0.25">
      <c r="L94" s="698"/>
      <c r="M94" s="366" t="s">
        <v>482</v>
      </c>
      <c r="N94" s="198">
        <v>6</v>
      </c>
      <c r="O94" s="198" t="s">
        <v>71</v>
      </c>
      <c r="P94" s="198"/>
      <c r="Q94" s="198"/>
      <c r="R94" s="200"/>
      <c r="AK94" s="698"/>
      <c r="AL94" s="366" t="s">
        <v>482</v>
      </c>
      <c r="AM94" s="198">
        <v>6</v>
      </c>
      <c r="AN94" s="198" t="s">
        <v>71</v>
      </c>
      <c r="AO94" s="198"/>
      <c r="AP94" s="198"/>
      <c r="AQ94" s="200"/>
    </row>
    <row r="95" spans="12:43" x14ac:dyDescent="0.25">
      <c r="L95" s="698"/>
      <c r="M95" s="366" t="s">
        <v>483</v>
      </c>
      <c r="N95" s="198">
        <v>50</v>
      </c>
      <c r="O95" s="198" t="s">
        <v>117</v>
      </c>
      <c r="P95" s="198"/>
      <c r="Q95" s="198"/>
      <c r="R95" s="200"/>
      <c r="AK95" s="698"/>
      <c r="AL95" s="366" t="s">
        <v>483</v>
      </c>
      <c r="AM95" s="198">
        <v>50</v>
      </c>
      <c r="AN95" s="198" t="s">
        <v>117</v>
      </c>
      <c r="AO95" s="198"/>
      <c r="AP95" s="198"/>
      <c r="AQ95" s="200"/>
    </row>
    <row r="96" spans="12:43" ht="30" x14ac:dyDescent="0.25">
      <c r="L96" s="698"/>
      <c r="M96" s="366" t="s">
        <v>484</v>
      </c>
      <c r="N96" s="198">
        <v>0.56399999999999995</v>
      </c>
      <c r="O96" s="198" t="s">
        <v>71</v>
      </c>
      <c r="P96" s="198"/>
      <c r="Q96" s="198"/>
      <c r="R96" s="200"/>
      <c r="AK96" s="698"/>
      <c r="AL96" s="366" t="s">
        <v>484</v>
      </c>
      <c r="AM96" s="198">
        <v>1.704</v>
      </c>
      <c r="AN96" s="198" t="s">
        <v>71</v>
      </c>
      <c r="AO96" s="198"/>
      <c r="AP96" s="198"/>
      <c r="AQ96" s="200"/>
    </row>
    <row r="97" spans="12:43" x14ac:dyDescent="0.25">
      <c r="L97" s="698"/>
      <c r="M97" s="366" t="s">
        <v>466</v>
      </c>
      <c r="N97" s="198">
        <v>0</v>
      </c>
      <c r="O97" s="198"/>
      <c r="P97" s="198"/>
      <c r="Q97" s="198"/>
      <c r="R97" s="200"/>
      <c r="AK97" s="698"/>
      <c r="AL97" s="366" t="s">
        <v>466</v>
      </c>
      <c r="AM97" s="198">
        <v>0</v>
      </c>
      <c r="AN97" s="198"/>
      <c r="AO97" s="198"/>
      <c r="AP97" s="198"/>
      <c r="AQ97" s="200"/>
    </row>
    <row r="98" spans="12:43" x14ac:dyDescent="0.25">
      <c r="L98" s="698"/>
      <c r="M98" s="366" t="s">
        <v>485</v>
      </c>
      <c r="N98" s="198">
        <v>1.5</v>
      </c>
      <c r="O98" s="198"/>
      <c r="P98" s="198"/>
      <c r="Q98" s="198"/>
      <c r="R98" s="200"/>
      <c r="AK98" s="698"/>
      <c r="AL98" s="366" t="s">
        <v>485</v>
      </c>
      <c r="AM98" s="198">
        <v>1.5</v>
      </c>
      <c r="AN98" s="198"/>
      <c r="AO98" s="198"/>
      <c r="AP98" s="198"/>
      <c r="AQ98" s="200"/>
    </row>
    <row r="99" spans="12:43" x14ac:dyDescent="0.25">
      <c r="L99" s="698"/>
      <c r="M99" s="366" t="s">
        <v>486</v>
      </c>
      <c r="N99" s="198"/>
      <c r="O99" s="198"/>
      <c r="P99" s="198"/>
      <c r="Q99" s="198"/>
      <c r="R99" s="200"/>
      <c r="AK99" s="698"/>
      <c r="AL99" s="366" t="s">
        <v>486</v>
      </c>
      <c r="AM99" s="198"/>
      <c r="AN99" s="198"/>
      <c r="AO99" s="198"/>
      <c r="AP99" s="198"/>
      <c r="AQ99" s="200"/>
    </row>
    <row r="100" spans="12:43" ht="30" x14ac:dyDescent="0.25">
      <c r="L100" s="698"/>
      <c r="M100" s="366" t="s">
        <v>487</v>
      </c>
      <c r="N100" s="198" t="s">
        <v>582</v>
      </c>
      <c r="O100" s="198" t="s">
        <v>445</v>
      </c>
      <c r="P100" s="198">
        <v>-21</v>
      </c>
      <c r="Q100" s="198"/>
      <c r="R100" s="200"/>
      <c r="AK100" s="698"/>
      <c r="AL100" s="366" t="s">
        <v>487</v>
      </c>
      <c r="AM100" s="198" t="s">
        <v>598</v>
      </c>
      <c r="AN100" s="198" t="s">
        <v>445</v>
      </c>
      <c r="AO100" s="198">
        <v>-23.2</v>
      </c>
      <c r="AP100" s="198"/>
      <c r="AQ100" s="200"/>
    </row>
    <row r="101" spans="12:43" ht="30" x14ac:dyDescent="0.25">
      <c r="L101" s="698"/>
      <c r="M101" s="366" t="s">
        <v>488</v>
      </c>
      <c r="N101" s="198"/>
      <c r="O101" s="198"/>
      <c r="P101" s="198"/>
      <c r="Q101" s="198"/>
      <c r="R101" s="200"/>
      <c r="AK101" s="698"/>
      <c r="AL101" s="366" t="s">
        <v>488</v>
      </c>
      <c r="AM101" s="198"/>
      <c r="AN101" s="198"/>
      <c r="AO101" s="198"/>
      <c r="AP101" s="198"/>
      <c r="AQ101" s="200"/>
    </row>
    <row r="102" spans="12:43" x14ac:dyDescent="0.25">
      <c r="L102" s="698"/>
      <c r="M102" s="366" t="s">
        <v>444</v>
      </c>
      <c r="N102" s="198">
        <v>50</v>
      </c>
      <c r="O102" s="198" t="s">
        <v>445</v>
      </c>
      <c r="P102" s="198">
        <v>50</v>
      </c>
      <c r="Q102" s="198"/>
      <c r="R102" s="200"/>
      <c r="AK102" s="698"/>
      <c r="AL102" s="366" t="s">
        <v>444</v>
      </c>
      <c r="AM102" s="198">
        <v>50</v>
      </c>
      <c r="AN102" s="198" t="s">
        <v>445</v>
      </c>
      <c r="AO102" s="198">
        <v>50</v>
      </c>
      <c r="AP102" s="198"/>
      <c r="AQ102" s="200"/>
    </row>
    <row r="103" spans="12:43" x14ac:dyDescent="0.25">
      <c r="L103" s="698"/>
      <c r="M103" s="366" t="s">
        <v>451</v>
      </c>
      <c r="N103" s="198" t="s">
        <v>452</v>
      </c>
      <c r="O103" s="198" t="s">
        <v>445</v>
      </c>
      <c r="P103" s="198"/>
      <c r="Q103" s="198"/>
      <c r="R103" s="200"/>
      <c r="AK103" s="698"/>
      <c r="AL103" s="366" t="s">
        <v>451</v>
      </c>
      <c r="AM103" s="198" t="s">
        <v>452</v>
      </c>
      <c r="AN103" s="198" t="s">
        <v>445</v>
      </c>
      <c r="AO103" s="198"/>
      <c r="AP103" s="198"/>
      <c r="AQ103" s="200"/>
    </row>
    <row r="104" spans="12:43" ht="30" x14ac:dyDescent="0.25">
      <c r="L104" s="698"/>
      <c r="M104" s="366" t="s">
        <v>489</v>
      </c>
      <c r="N104" s="198">
        <v>160.80000000000001</v>
      </c>
      <c r="O104" s="198" t="s">
        <v>445</v>
      </c>
      <c r="P104" s="198"/>
      <c r="Q104" s="198"/>
      <c r="R104" s="200"/>
      <c r="AK104" s="698"/>
      <c r="AL104" s="366" t="s">
        <v>489</v>
      </c>
      <c r="AM104" s="198">
        <v>151.1</v>
      </c>
      <c r="AN104" s="198" t="s">
        <v>445</v>
      </c>
      <c r="AO104" s="198"/>
      <c r="AP104" s="198"/>
      <c r="AQ104" s="200"/>
    </row>
    <row r="105" spans="12:43" ht="30" x14ac:dyDescent="0.25">
      <c r="L105" s="698"/>
      <c r="M105" s="366" t="s">
        <v>490</v>
      </c>
      <c r="N105" s="198"/>
      <c r="O105" s="198"/>
      <c r="P105" s="198"/>
      <c r="Q105" s="198"/>
      <c r="R105" s="200"/>
      <c r="AK105" s="698"/>
      <c r="AL105" s="366" t="s">
        <v>490</v>
      </c>
      <c r="AM105" s="198"/>
      <c r="AN105" s="198"/>
      <c r="AO105" s="198"/>
      <c r="AP105" s="198"/>
      <c r="AQ105" s="200"/>
    </row>
    <row r="106" spans="12:43" x14ac:dyDescent="0.25">
      <c r="L106" s="698"/>
      <c r="M106" s="366" t="s">
        <v>456</v>
      </c>
      <c r="N106" s="198">
        <v>107.3</v>
      </c>
      <c r="O106" s="198" t="s">
        <v>445</v>
      </c>
      <c r="P106" s="198">
        <v>107.3</v>
      </c>
      <c r="Q106" s="198"/>
      <c r="R106" s="200"/>
      <c r="AK106" s="698"/>
      <c r="AL106" s="366" t="s">
        <v>456</v>
      </c>
      <c r="AM106" s="198">
        <v>99.1</v>
      </c>
      <c r="AN106" s="198" t="s">
        <v>445</v>
      </c>
      <c r="AO106" s="198">
        <v>99.1</v>
      </c>
      <c r="AP106" s="198"/>
      <c r="AQ106" s="200"/>
    </row>
    <row r="107" spans="12:43" ht="30" x14ac:dyDescent="0.25">
      <c r="L107" s="698"/>
      <c r="M107" s="366" t="s">
        <v>491</v>
      </c>
      <c r="N107" s="198" t="s">
        <v>492</v>
      </c>
      <c r="O107" s="198"/>
      <c r="P107" s="198"/>
      <c r="Q107" s="198"/>
      <c r="R107" s="200"/>
      <c r="AK107" s="698"/>
      <c r="AL107" s="366" t="s">
        <v>491</v>
      </c>
      <c r="AM107" s="198" t="s">
        <v>492</v>
      </c>
      <c r="AN107" s="198"/>
      <c r="AO107" s="198"/>
      <c r="AP107" s="198"/>
      <c r="AQ107" s="200"/>
    </row>
    <row r="108" spans="12:43" x14ac:dyDescent="0.25">
      <c r="L108" s="698"/>
      <c r="M108" s="366" t="s">
        <v>493</v>
      </c>
      <c r="N108" s="198"/>
      <c r="O108" s="198"/>
      <c r="P108" s="198"/>
      <c r="Q108" s="198" t="s">
        <v>442</v>
      </c>
      <c r="R108" s="200"/>
      <c r="AK108" s="698"/>
      <c r="AL108" s="366" t="s">
        <v>493</v>
      </c>
      <c r="AM108" s="198"/>
      <c r="AN108" s="198"/>
      <c r="AO108" s="198"/>
      <c r="AP108" s="198" t="s">
        <v>442</v>
      </c>
      <c r="AQ108" s="200"/>
    </row>
    <row r="109" spans="12:43" ht="30" x14ac:dyDescent="0.25">
      <c r="L109" s="698"/>
      <c r="M109" s="366" t="s">
        <v>494</v>
      </c>
      <c r="N109" s="373">
        <v>16</v>
      </c>
      <c r="O109" s="373" t="s">
        <v>445</v>
      </c>
      <c r="P109" s="373">
        <v>4</v>
      </c>
      <c r="Q109" s="373" t="s">
        <v>442</v>
      </c>
      <c r="R109" s="200">
        <v>74.849999999999994</v>
      </c>
      <c r="AK109" s="698"/>
      <c r="AL109" s="366" t="s">
        <v>494</v>
      </c>
      <c r="AM109" s="373">
        <v>16</v>
      </c>
      <c r="AN109" s="373" t="s">
        <v>445</v>
      </c>
      <c r="AO109" s="373">
        <v>1.8</v>
      </c>
      <c r="AP109" s="373" t="s">
        <v>442</v>
      </c>
      <c r="AQ109" s="200">
        <v>88.96</v>
      </c>
    </row>
    <row r="110" spans="12:43" ht="45" x14ac:dyDescent="0.25">
      <c r="L110" s="698"/>
      <c r="M110" s="366" t="s">
        <v>495</v>
      </c>
      <c r="N110" s="373">
        <v>80</v>
      </c>
      <c r="O110" s="373" t="s">
        <v>475</v>
      </c>
      <c r="P110" s="373">
        <v>14.19</v>
      </c>
      <c r="Q110" s="373" t="s">
        <v>442</v>
      </c>
      <c r="R110" s="200">
        <v>82.26</v>
      </c>
      <c r="AK110" s="698"/>
      <c r="AL110" s="366" t="s">
        <v>495</v>
      </c>
      <c r="AM110" s="373">
        <v>80</v>
      </c>
      <c r="AN110" s="373" t="s">
        <v>475</v>
      </c>
      <c r="AO110" s="373">
        <v>18.079999999999998</v>
      </c>
      <c r="AP110" s="373" t="s">
        <v>442</v>
      </c>
      <c r="AQ110" s="200">
        <v>77.400000000000006</v>
      </c>
    </row>
    <row r="111" spans="12:43" x14ac:dyDescent="0.25">
      <c r="L111" s="698"/>
      <c r="M111" s="366" t="s">
        <v>496</v>
      </c>
      <c r="N111" s="373">
        <v>100</v>
      </c>
      <c r="O111" s="373" t="s">
        <v>475</v>
      </c>
      <c r="P111" s="373">
        <v>153.84</v>
      </c>
      <c r="Q111" s="373" t="s">
        <v>442</v>
      </c>
      <c r="R111" s="200">
        <v>53.84</v>
      </c>
      <c r="AK111" s="698"/>
      <c r="AL111" s="366" t="s">
        <v>496</v>
      </c>
      <c r="AM111" s="373">
        <v>100</v>
      </c>
      <c r="AN111" s="373" t="s">
        <v>475</v>
      </c>
      <c r="AO111" s="373">
        <v>224.67</v>
      </c>
      <c r="AP111" s="373" t="s">
        <v>442</v>
      </c>
      <c r="AQ111" s="200">
        <v>124.67</v>
      </c>
    </row>
    <row r="112" spans="12:43" x14ac:dyDescent="0.25">
      <c r="L112" s="698"/>
      <c r="M112" s="366" t="s">
        <v>457</v>
      </c>
      <c r="N112" s="198"/>
      <c r="O112" s="198"/>
      <c r="P112" s="198"/>
      <c r="Q112" s="198"/>
      <c r="R112" s="200"/>
      <c r="AK112" s="698"/>
      <c r="AL112" s="366" t="s">
        <v>457</v>
      </c>
      <c r="AM112" s="198"/>
      <c r="AN112" s="198"/>
      <c r="AO112" s="198"/>
      <c r="AP112" s="198"/>
      <c r="AQ112" s="200"/>
    </row>
    <row r="113" spans="12:43" x14ac:dyDescent="0.25">
      <c r="L113" s="698"/>
      <c r="M113" s="366" t="s">
        <v>497</v>
      </c>
      <c r="N113" s="198"/>
      <c r="O113" s="198" t="s">
        <v>117</v>
      </c>
      <c r="P113" s="198">
        <v>145.49100000000001</v>
      </c>
      <c r="Q113" s="198"/>
      <c r="R113" s="200"/>
      <c r="AK113" s="698"/>
      <c r="AL113" s="366" t="s">
        <v>497</v>
      </c>
      <c r="AM113" s="198"/>
      <c r="AN113" s="198" t="s">
        <v>117</v>
      </c>
      <c r="AO113" s="198">
        <v>152.929</v>
      </c>
      <c r="AP113" s="198"/>
      <c r="AQ113" s="200"/>
    </row>
    <row r="114" spans="12:43" ht="30" x14ac:dyDescent="0.25">
      <c r="L114" s="698"/>
      <c r="M114" s="366" t="s">
        <v>498</v>
      </c>
      <c r="N114" s="198"/>
      <c r="O114" s="198" t="s">
        <v>71</v>
      </c>
      <c r="P114" s="198">
        <v>4.0369999999999999</v>
      </c>
      <c r="Q114" s="198"/>
      <c r="R114" s="200"/>
      <c r="AK114" s="698"/>
      <c r="AL114" s="366" t="s">
        <v>498</v>
      </c>
      <c r="AM114" s="198"/>
      <c r="AN114" s="198" t="s">
        <v>71</v>
      </c>
      <c r="AO114" s="198">
        <v>6.67</v>
      </c>
      <c r="AP114" s="198"/>
      <c r="AQ114" s="200"/>
    </row>
    <row r="115" spans="12:43" x14ac:dyDescent="0.25">
      <c r="L115" s="698"/>
      <c r="M115" s="366" t="s">
        <v>499</v>
      </c>
      <c r="N115" s="198"/>
      <c r="O115" s="198" t="s">
        <v>117</v>
      </c>
      <c r="P115" s="198">
        <v>195.49100000000001</v>
      </c>
      <c r="Q115" s="198"/>
      <c r="R115" s="200"/>
      <c r="AK115" s="698"/>
      <c r="AL115" s="366" t="s">
        <v>499</v>
      </c>
      <c r="AM115" s="198"/>
      <c r="AN115" s="198" t="s">
        <v>117</v>
      </c>
      <c r="AO115" s="198">
        <v>202.929</v>
      </c>
      <c r="AP115" s="198"/>
      <c r="AQ115" s="200"/>
    </row>
    <row r="116" spans="12:43" ht="30" x14ac:dyDescent="0.25">
      <c r="L116" s="698"/>
      <c r="M116" s="366" t="s">
        <v>500</v>
      </c>
      <c r="N116" s="198"/>
      <c r="O116" s="198" t="s">
        <v>71</v>
      </c>
      <c r="P116" s="198">
        <v>4.5389999999999997</v>
      </c>
      <c r="Q116" s="198"/>
      <c r="R116" s="200"/>
      <c r="AK116" s="698"/>
      <c r="AL116" s="366" t="s">
        <v>500</v>
      </c>
      <c r="AM116" s="198"/>
      <c r="AN116" s="198" t="s">
        <v>71</v>
      </c>
      <c r="AO116" s="198">
        <v>6.5049999999999999</v>
      </c>
      <c r="AP116" s="198"/>
      <c r="AQ116" s="200"/>
    </row>
    <row r="117" spans="12:43" x14ac:dyDescent="0.25">
      <c r="L117" s="698"/>
      <c r="M117" s="366" t="s">
        <v>468</v>
      </c>
      <c r="N117" s="198"/>
      <c r="O117" s="198" t="s">
        <v>71</v>
      </c>
      <c r="P117" s="198">
        <v>0.38400000000000001</v>
      </c>
      <c r="Q117" s="198"/>
      <c r="R117" s="200"/>
      <c r="AK117" s="698"/>
      <c r="AL117" s="366" t="s">
        <v>468</v>
      </c>
      <c r="AM117" s="198"/>
      <c r="AN117" s="198" t="s">
        <v>71</v>
      </c>
      <c r="AO117" s="198">
        <v>0.35899999999999999</v>
      </c>
      <c r="AP117" s="198"/>
      <c r="AQ117" s="200"/>
    </row>
    <row r="118" spans="12:43" x14ac:dyDescent="0.25">
      <c r="L118" s="698"/>
      <c r="M118" s="366" t="s">
        <v>501</v>
      </c>
      <c r="N118" s="198"/>
      <c r="O118" s="198" t="s">
        <v>445</v>
      </c>
      <c r="P118" s="198">
        <v>4</v>
      </c>
      <c r="Q118" s="198"/>
      <c r="R118" s="200"/>
      <c r="AK118" s="698"/>
      <c r="AL118" s="366" t="s">
        <v>501</v>
      </c>
      <c r="AM118" s="198"/>
      <c r="AN118" s="198" t="s">
        <v>445</v>
      </c>
      <c r="AO118" s="198">
        <v>1.8</v>
      </c>
      <c r="AP118" s="198"/>
      <c r="AQ118" s="200"/>
    </row>
    <row r="119" spans="12:43" x14ac:dyDescent="0.25">
      <c r="L119" s="698"/>
      <c r="M119" s="366" t="s">
        <v>502</v>
      </c>
      <c r="N119" s="198"/>
      <c r="O119" s="198" t="s">
        <v>445</v>
      </c>
      <c r="P119" s="198">
        <v>6.1</v>
      </c>
      <c r="Q119" s="198"/>
      <c r="R119" s="200"/>
      <c r="AK119" s="698"/>
      <c r="AL119" s="366" t="s">
        <v>502</v>
      </c>
      <c r="AM119" s="198"/>
      <c r="AN119" s="198" t="s">
        <v>445</v>
      </c>
      <c r="AO119" s="198">
        <v>2.6</v>
      </c>
      <c r="AP119" s="198"/>
      <c r="AQ119" s="200"/>
    </row>
    <row r="120" spans="12:43" x14ac:dyDescent="0.25">
      <c r="L120" s="698"/>
      <c r="M120" s="366" t="s">
        <v>503</v>
      </c>
      <c r="N120" s="198"/>
      <c r="O120" s="198" t="s">
        <v>445</v>
      </c>
      <c r="P120" s="198">
        <v>28.4</v>
      </c>
      <c r="Q120" s="198"/>
      <c r="R120" s="200"/>
      <c r="AK120" s="698"/>
      <c r="AL120" s="366" t="s">
        <v>503</v>
      </c>
      <c r="AM120" s="198"/>
      <c r="AN120" s="198" t="s">
        <v>445</v>
      </c>
      <c r="AO120" s="198">
        <v>9.8000000000000007</v>
      </c>
      <c r="AP120" s="198"/>
      <c r="AQ120" s="200"/>
    </row>
    <row r="121" spans="12:43" x14ac:dyDescent="0.25">
      <c r="L121" s="698"/>
      <c r="M121" s="366" t="s">
        <v>504</v>
      </c>
      <c r="N121" s="198"/>
      <c r="O121" s="198" t="s">
        <v>449</v>
      </c>
      <c r="P121" s="198">
        <v>74.600899999999996</v>
      </c>
      <c r="Q121" s="198"/>
      <c r="R121" s="200"/>
      <c r="AK121" s="698"/>
      <c r="AL121" s="366" t="s">
        <v>504</v>
      </c>
      <c r="AM121" s="198"/>
      <c r="AN121" s="198" t="s">
        <v>449</v>
      </c>
      <c r="AO121" s="198">
        <v>180.12289999999999</v>
      </c>
      <c r="AP121" s="198"/>
      <c r="AQ121" s="200"/>
    </row>
    <row r="122" spans="12:43" x14ac:dyDescent="0.25">
      <c r="L122" s="698"/>
      <c r="M122" s="366" t="s">
        <v>505</v>
      </c>
      <c r="N122" s="198"/>
      <c r="O122" s="198" t="s">
        <v>449</v>
      </c>
      <c r="P122" s="198">
        <v>25.255299999999998</v>
      </c>
      <c r="Q122" s="198"/>
      <c r="R122" s="200"/>
      <c r="AK122" s="698"/>
      <c r="AL122" s="366" t="s">
        <v>505</v>
      </c>
      <c r="AM122" s="198"/>
      <c r="AN122" s="198" t="s">
        <v>449</v>
      </c>
      <c r="AO122" s="198">
        <v>25.504300000000001</v>
      </c>
      <c r="AP122" s="198"/>
      <c r="AQ122" s="200"/>
    </row>
    <row r="123" spans="12:43" x14ac:dyDescent="0.25">
      <c r="L123" s="698"/>
      <c r="M123" s="366" t="s">
        <v>506</v>
      </c>
      <c r="N123" s="198"/>
      <c r="O123" s="198" t="s">
        <v>449</v>
      </c>
      <c r="P123" s="198">
        <v>49.345599999999997</v>
      </c>
      <c r="Q123" s="198"/>
      <c r="R123" s="200"/>
      <c r="AK123" s="698"/>
      <c r="AL123" s="366" t="s">
        <v>506</v>
      </c>
      <c r="AM123" s="198"/>
      <c r="AN123" s="198" t="s">
        <v>449</v>
      </c>
      <c r="AO123" s="198">
        <v>154.61859999999999</v>
      </c>
      <c r="AP123" s="198"/>
      <c r="AQ123" s="200"/>
    </row>
    <row r="124" spans="12:43" x14ac:dyDescent="0.25">
      <c r="L124" s="698"/>
      <c r="M124" s="366" t="s">
        <v>507</v>
      </c>
      <c r="N124" s="198"/>
      <c r="O124" s="198" t="s">
        <v>449</v>
      </c>
      <c r="P124" s="198">
        <v>-16.4694</v>
      </c>
      <c r="Q124" s="198"/>
      <c r="R124" s="200"/>
      <c r="AK124" s="698"/>
      <c r="AL124" s="366" t="s">
        <v>507</v>
      </c>
      <c r="AM124" s="198"/>
      <c r="AN124" s="198" t="s">
        <v>449</v>
      </c>
      <c r="AO124" s="198">
        <v>-54.8887</v>
      </c>
      <c r="AP124" s="198"/>
      <c r="AQ124" s="200"/>
    </row>
    <row r="125" spans="12:43" x14ac:dyDescent="0.25">
      <c r="L125" s="698"/>
      <c r="M125" s="366" t="s">
        <v>508</v>
      </c>
      <c r="N125" s="198"/>
      <c r="O125" s="198" t="s">
        <v>449</v>
      </c>
      <c r="P125" s="198">
        <v>15.6061</v>
      </c>
      <c r="Q125" s="198"/>
      <c r="R125" s="200"/>
      <c r="AK125" s="698"/>
      <c r="AL125" s="366" t="s">
        <v>508</v>
      </c>
      <c r="AM125" s="198"/>
      <c r="AN125" s="198" t="s">
        <v>449</v>
      </c>
      <c r="AO125" s="198">
        <v>13.932499999999999</v>
      </c>
      <c r="AP125" s="198"/>
      <c r="AQ125" s="200"/>
    </row>
    <row r="126" spans="12:43" ht="15.75" thickBot="1" x14ac:dyDescent="0.3">
      <c r="L126" s="699"/>
      <c r="M126" s="370" t="s">
        <v>509</v>
      </c>
      <c r="N126" s="371"/>
      <c r="O126" s="371" t="s">
        <v>449</v>
      </c>
      <c r="P126" s="371">
        <v>32.075499999999998</v>
      </c>
      <c r="Q126" s="371"/>
      <c r="R126" s="372"/>
      <c r="AK126" s="699"/>
      <c r="AL126" s="370" t="s">
        <v>509</v>
      </c>
      <c r="AM126" s="371"/>
      <c r="AN126" s="371" t="s">
        <v>449</v>
      </c>
      <c r="AO126" s="371">
        <v>68.821200000000005</v>
      </c>
      <c r="AP126" s="371"/>
      <c r="AQ126" s="372"/>
    </row>
  </sheetData>
  <mergeCells count="39">
    <mergeCell ref="L79:L88"/>
    <mergeCell ref="L90:L126"/>
    <mergeCell ref="L34:L41"/>
    <mergeCell ref="L43:L50"/>
    <mergeCell ref="L52:L60"/>
    <mergeCell ref="L62:L63"/>
    <mergeCell ref="L65:L67"/>
    <mergeCell ref="L69:L77"/>
    <mergeCell ref="L26:L32"/>
    <mergeCell ref="B6:C6"/>
    <mergeCell ref="M6:AI7"/>
    <mergeCell ref="B7:C7"/>
    <mergeCell ref="B8:C8"/>
    <mergeCell ref="M8:M9"/>
    <mergeCell ref="N8:AI8"/>
    <mergeCell ref="B9:C9"/>
    <mergeCell ref="B10:C10"/>
    <mergeCell ref="B11:C11"/>
    <mergeCell ref="B12:C12"/>
    <mergeCell ref="B13:C13"/>
    <mergeCell ref="B14:B16"/>
    <mergeCell ref="B2:J2"/>
    <mergeCell ref="B3:C5"/>
    <mergeCell ref="D3:F5"/>
    <mergeCell ref="G3:J3"/>
    <mergeCell ref="G4:H4"/>
    <mergeCell ref="I4:J4"/>
    <mergeCell ref="AL6:BH7"/>
    <mergeCell ref="AL8:AL9"/>
    <mergeCell ref="AM8:BH8"/>
    <mergeCell ref="AK26:AK32"/>
    <mergeCell ref="AK34:AK41"/>
    <mergeCell ref="AK79:AK88"/>
    <mergeCell ref="AK90:AK126"/>
    <mergeCell ref="AK43:AK50"/>
    <mergeCell ref="AK52:AK60"/>
    <mergeCell ref="AK62:AK63"/>
    <mergeCell ref="AK65:AK67"/>
    <mergeCell ref="AK69:AK7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3BD13-62BF-4502-BDC3-21E89679D6C0}">
  <sheetPr>
    <tabColor rgb="FF92D050"/>
  </sheetPr>
  <dimension ref="B1:BH126"/>
  <sheetViews>
    <sheetView topLeftCell="A43" zoomScale="85" zoomScaleNormal="85" workbookViewId="0">
      <selection activeCell="G15" sqref="G15:J16"/>
    </sheetView>
  </sheetViews>
  <sheetFormatPr defaultColWidth="8.85546875" defaultRowHeight="15" x14ac:dyDescent="0.25"/>
  <cols>
    <col min="1" max="1" width="8.85546875" style="245"/>
    <col min="2" max="2" width="9.7109375" style="198" customWidth="1"/>
    <col min="3" max="3" width="25.140625" style="198" customWidth="1"/>
    <col min="4" max="4" width="22.42578125" style="336" bestFit="1" customWidth="1"/>
    <col min="5" max="5" width="7" style="350" bestFit="1" customWidth="1"/>
    <col min="6" max="6" width="6" style="336" bestFit="1" customWidth="1"/>
    <col min="7" max="7" width="7.5703125" style="245" bestFit="1" customWidth="1"/>
    <col min="8" max="8" width="14.42578125" style="245" customWidth="1"/>
    <col min="9" max="9" width="7.5703125" style="245" bestFit="1" customWidth="1"/>
    <col min="10" max="10" width="14.42578125" style="245" customWidth="1"/>
    <col min="11" max="11" width="8.85546875" style="245"/>
    <col min="12" max="12" width="25.42578125" style="378" customWidth="1"/>
    <col min="13" max="13" width="38.7109375" style="361" customWidth="1"/>
    <col min="14" max="36" width="8.85546875" style="245"/>
    <col min="37" max="37" width="25.42578125" style="378" customWidth="1"/>
    <col min="38" max="38" width="38.7109375" style="361" customWidth="1"/>
    <col min="39" max="16384" width="8.85546875" style="245"/>
  </cols>
  <sheetData>
    <row r="1" spans="2:60" ht="15.75" thickBot="1" x14ac:dyDescent="0.3"/>
    <row r="2" spans="2:60" x14ac:dyDescent="0.25">
      <c r="B2" s="719" t="s">
        <v>584</v>
      </c>
      <c r="C2" s="708"/>
      <c r="D2" s="708"/>
      <c r="E2" s="708"/>
      <c r="F2" s="708"/>
      <c r="G2" s="708"/>
      <c r="H2" s="708"/>
      <c r="I2" s="708"/>
      <c r="J2" s="709"/>
    </row>
    <row r="3" spans="2:60" x14ac:dyDescent="0.25">
      <c r="B3" s="720" t="s">
        <v>519</v>
      </c>
      <c r="C3" s="655"/>
      <c r="D3" s="725" t="s">
        <v>510</v>
      </c>
      <c r="E3" s="726"/>
      <c r="F3" s="727"/>
      <c r="G3" s="601" t="s">
        <v>542</v>
      </c>
      <c r="H3" s="734"/>
      <c r="I3" s="734"/>
      <c r="J3" s="641"/>
    </row>
    <row r="4" spans="2:60" ht="14.45" customHeight="1" x14ac:dyDescent="0.25">
      <c r="B4" s="721"/>
      <c r="C4" s="722"/>
      <c r="D4" s="728"/>
      <c r="E4" s="729"/>
      <c r="F4" s="730"/>
      <c r="G4" s="603" t="s">
        <v>15</v>
      </c>
      <c r="H4" s="603"/>
      <c r="I4" s="603" t="s">
        <v>16</v>
      </c>
      <c r="J4" s="711"/>
    </row>
    <row r="5" spans="2:60" ht="15.75" thickBot="1" x14ac:dyDescent="0.3">
      <c r="B5" s="723"/>
      <c r="C5" s="724"/>
      <c r="D5" s="731"/>
      <c r="E5" s="732"/>
      <c r="F5" s="733"/>
      <c r="G5" s="332" t="s">
        <v>397</v>
      </c>
      <c r="H5" s="332" t="s">
        <v>511</v>
      </c>
      <c r="I5" s="332" t="s">
        <v>397</v>
      </c>
      <c r="J5" s="360" t="s">
        <v>511</v>
      </c>
      <c r="L5" s="379"/>
      <c r="M5" s="362"/>
      <c r="N5" s="321"/>
      <c r="O5" s="321"/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21"/>
      <c r="AA5" s="321"/>
      <c r="AB5" s="321"/>
      <c r="AC5" s="321"/>
      <c r="AD5" s="321"/>
      <c r="AE5" s="321"/>
      <c r="AF5" s="321"/>
      <c r="AG5" s="321"/>
      <c r="AH5" s="321"/>
      <c r="AI5" s="321"/>
      <c r="AK5" s="379"/>
      <c r="AL5" s="362"/>
      <c r="AM5" s="321"/>
      <c r="AN5" s="321"/>
      <c r="AO5" s="321"/>
      <c r="AP5" s="321"/>
      <c r="AQ5" s="321"/>
      <c r="AR5" s="321"/>
      <c r="AS5" s="321"/>
      <c r="AT5" s="321"/>
      <c r="AU5" s="321"/>
      <c r="AV5" s="321"/>
      <c r="AW5" s="321"/>
      <c r="AX5" s="321"/>
      <c r="AY5" s="321"/>
      <c r="AZ5" s="321"/>
      <c r="BA5" s="321"/>
      <c r="BB5" s="321"/>
      <c r="BC5" s="321"/>
      <c r="BD5" s="321"/>
      <c r="BE5" s="321"/>
      <c r="BF5" s="321"/>
      <c r="BG5" s="321"/>
      <c r="BH5" s="321"/>
    </row>
    <row r="6" spans="2:60" x14ac:dyDescent="0.25">
      <c r="B6" s="714" t="s">
        <v>512</v>
      </c>
      <c r="C6" s="715"/>
      <c r="D6" s="387" t="s">
        <v>517</v>
      </c>
      <c r="E6" s="388">
        <f>N32</f>
        <v>3.1513</v>
      </c>
      <c r="F6" s="389" t="s">
        <v>449</v>
      </c>
      <c r="G6" s="340">
        <f>P32</f>
        <v>24.967700000000001</v>
      </c>
      <c r="H6" s="340" t="str">
        <f>IF(G6&gt;=$E6,"PASS","FAIL")</f>
        <v>PASS</v>
      </c>
      <c r="I6" s="340">
        <f>AO32</f>
        <v>84.669499999999999</v>
      </c>
      <c r="J6" s="341" t="str">
        <f>IF(I6&gt;=$E6,"PASS","FAIL")</f>
        <v>PASS</v>
      </c>
      <c r="L6" s="379"/>
      <c r="M6" s="700" t="s">
        <v>541</v>
      </c>
      <c r="N6" s="701"/>
      <c r="O6" s="701"/>
      <c r="P6" s="701"/>
      <c r="Q6" s="701"/>
      <c r="R6" s="701"/>
      <c r="S6" s="701"/>
      <c r="T6" s="701"/>
      <c r="U6" s="701"/>
      <c r="V6" s="701"/>
      <c r="W6" s="701"/>
      <c r="X6" s="701"/>
      <c r="Y6" s="701"/>
      <c r="Z6" s="701"/>
      <c r="AA6" s="701"/>
      <c r="AB6" s="701"/>
      <c r="AC6" s="701"/>
      <c r="AD6" s="701"/>
      <c r="AE6" s="701"/>
      <c r="AF6" s="701"/>
      <c r="AG6" s="701"/>
      <c r="AH6" s="701"/>
      <c r="AI6" s="702"/>
      <c r="AK6" s="379"/>
      <c r="AL6" s="700" t="s">
        <v>595</v>
      </c>
      <c r="AM6" s="701"/>
      <c r="AN6" s="701"/>
      <c r="AO6" s="701"/>
      <c r="AP6" s="701"/>
      <c r="AQ6" s="701"/>
      <c r="AR6" s="701"/>
      <c r="AS6" s="701"/>
      <c r="AT6" s="701"/>
      <c r="AU6" s="701"/>
      <c r="AV6" s="701"/>
      <c r="AW6" s="701"/>
      <c r="AX6" s="701"/>
      <c r="AY6" s="701"/>
      <c r="AZ6" s="701"/>
      <c r="BA6" s="701"/>
      <c r="BB6" s="701"/>
      <c r="BC6" s="701"/>
      <c r="BD6" s="701"/>
      <c r="BE6" s="701"/>
      <c r="BF6" s="701"/>
      <c r="BG6" s="701"/>
      <c r="BH6" s="702"/>
    </row>
    <row r="7" spans="2:60" ht="15.75" thickBot="1" x14ac:dyDescent="0.3">
      <c r="B7" s="712" t="s">
        <v>513</v>
      </c>
      <c r="C7" s="716"/>
      <c r="D7" s="354" t="s">
        <v>517</v>
      </c>
      <c r="E7" s="355">
        <f>N41</f>
        <v>5.1566000000000001</v>
      </c>
      <c r="F7" s="356" t="s">
        <v>449</v>
      </c>
      <c r="G7" s="202">
        <f>P41</f>
        <v>38.393500000000003</v>
      </c>
      <c r="H7" s="340" t="str">
        <f t="shared" ref="H7:J11" si="0">IF(G7&gt;=$E7,"PASS","FAIL")</f>
        <v>PASS</v>
      </c>
      <c r="I7" s="202">
        <f>AO41</f>
        <v>131.10400000000001</v>
      </c>
      <c r="J7" s="341" t="str">
        <f t="shared" si="0"/>
        <v>PASS</v>
      </c>
      <c r="L7" s="379"/>
      <c r="M7" s="703"/>
      <c r="N7" s="704"/>
      <c r="O7" s="704"/>
      <c r="P7" s="704"/>
      <c r="Q7" s="704"/>
      <c r="R7" s="704"/>
      <c r="S7" s="704"/>
      <c r="T7" s="704"/>
      <c r="U7" s="704"/>
      <c r="V7" s="704"/>
      <c r="W7" s="704"/>
      <c r="X7" s="704"/>
      <c r="Y7" s="704"/>
      <c r="Z7" s="704"/>
      <c r="AA7" s="704"/>
      <c r="AB7" s="704"/>
      <c r="AC7" s="704"/>
      <c r="AD7" s="704"/>
      <c r="AE7" s="704"/>
      <c r="AF7" s="704"/>
      <c r="AG7" s="704"/>
      <c r="AH7" s="704"/>
      <c r="AI7" s="705"/>
      <c r="AK7" s="379"/>
      <c r="AL7" s="703"/>
      <c r="AM7" s="704"/>
      <c r="AN7" s="704"/>
      <c r="AO7" s="704"/>
      <c r="AP7" s="704"/>
      <c r="AQ7" s="704"/>
      <c r="AR7" s="704"/>
      <c r="AS7" s="704"/>
      <c r="AT7" s="704"/>
      <c r="AU7" s="704"/>
      <c r="AV7" s="704"/>
      <c r="AW7" s="704"/>
      <c r="AX7" s="704"/>
      <c r="AY7" s="704"/>
      <c r="AZ7" s="704"/>
      <c r="BA7" s="704"/>
      <c r="BB7" s="704"/>
      <c r="BC7" s="704"/>
      <c r="BD7" s="704"/>
      <c r="BE7" s="704"/>
      <c r="BF7" s="704"/>
      <c r="BG7" s="704"/>
      <c r="BH7" s="705"/>
    </row>
    <row r="8" spans="2:60" x14ac:dyDescent="0.25">
      <c r="B8" s="712" t="s">
        <v>514</v>
      </c>
      <c r="C8" s="716"/>
      <c r="D8" s="354" t="s">
        <v>517</v>
      </c>
      <c r="E8" s="355">
        <f>N50</f>
        <v>1.7189000000000001</v>
      </c>
      <c r="F8" s="356" t="s">
        <v>449</v>
      </c>
      <c r="G8" s="202">
        <f>P50</f>
        <v>13.425800000000001</v>
      </c>
      <c r="H8" s="340" t="str">
        <f t="shared" si="0"/>
        <v>PASS</v>
      </c>
      <c r="I8" s="202">
        <f>AO50</f>
        <v>46.4345</v>
      </c>
      <c r="J8" s="341" t="str">
        <f t="shared" si="0"/>
        <v>PASS</v>
      </c>
      <c r="M8" s="706" t="s">
        <v>583</v>
      </c>
      <c r="N8" s="708" t="s">
        <v>540</v>
      </c>
      <c r="O8" s="708"/>
      <c r="P8" s="708"/>
      <c r="Q8" s="708"/>
      <c r="R8" s="708"/>
      <c r="S8" s="708"/>
      <c r="T8" s="708"/>
      <c r="U8" s="708"/>
      <c r="V8" s="708"/>
      <c r="W8" s="708"/>
      <c r="X8" s="708"/>
      <c r="Y8" s="708"/>
      <c r="Z8" s="708"/>
      <c r="AA8" s="708"/>
      <c r="AB8" s="708"/>
      <c r="AC8" s="708"/>
      <c r="AD8" s="708"/>
      <c r="AE8" s="708"/>
      <c r="AF8" s="708"/>
      <c r="AG8" s="708"/>
      <c r="AH8" s="708"/>
      <c r="AI8" s="709"/>
      <c r="AL8" s="706" t="s">
        <v>543</v>
      </c>
      <c r="AM8" s="708" t="s">
        <v>540</v>
      </c>
      <c r="AN8" s="708"/>
      <c r="AO8" s="708"/>
      <c r="AP8" s="708"/>
      <c r="AQ8" s="708"/>
      <c r="AR8" s="708"/>
      <c r="AS8" s="708"/>
      <c r="AT8" s="708"/>
      <c r="AU8" s="708"/>
      <c r="AV8" s="708"/>
      <c r="AW8" s="708"/>
      <c r="AX8" s="708"/>
      <c r="AY8" s="708"/>
      <c r="AZ8" s="708"/>
      <c r="BA8" s="708"/>
      <c r="BB8" s="708"/>
      <c r="BC8" s="708"/>
      <c r="BD8" s="708"/>
      <c r="BE8" s="708"/>
      <c r="BF8" s="708"/>
      <c r="BG8" s="708"/>
      <c r="BH8" s="709"/>
    </row>
    <row r="9" spans="2:60" ht="15.75" thickBot="1" x14ac:dyDescent="0.3">
      <c r="B9" s="717" t="s">
        <v>515</v>
      </c>
      <c r="C9" s="718"/>
      <c r="D9" s="354" t="s">
        <v>517</v>
      </c>
      <c r="E9" s="355">
        <f>N58</f>
        <v>0.2</v>
      </c>
      <c r="F9" s="356" t="s">
        <v>449</v>
      </c>
      <c r="G9" s="202">
        <f>P58</f>
        <v>1.5880000000000001</v>
      </c>
      <c r="H9" s="340" t="str">
        <f t="shared" si="0"/>
        <v>PASS</v>
      </c>
      <c r="I9" s="202">
        <f>AO58</f>
        <v>4.9420000000000002</v>
      </c>
      <c r="J9" s="341" t="str">
        <f t="shared" si="0"/>
        <v>PASS</v>
      </c>
      <c r="M9" s="707"/>
      <c r="N9" s="332">
        <v>-30</v>
      </c>
      <c r="O9" s="332">
        <v>-20</v>
      </c>
      <c r="P9" s="332">
        <v>-10</v>
      </c>
      <c r="Q9" s="332">
        <v>0</v>
      </c>
      <c r="R9" s="332">
        <v>10</v>
      </c>
      <c r="S9" s="332">
        <v>20</v>
      </c>
      <c r="T9" s="332">
        <v>30</v>
      </c>
      <c r="U9" s="332">
        <v>40</v>
      </c>
      <c r="V9" s="332">
        <v>50</v>
      </c>
      <c r="W9" s="332">
        <v>60</v>
      </c>
      <c r="X9" s="332">
        <v>70</v>
      </c>
      <c r="Y9" s="332">
        <v>80</v>
      </c>
      <c r="Z9" s="332">
        <v>90</v>
      </c>
      <c r="AA9" s="332">
        <v>100</v>
      </c>
      <c r="AB9" s="332">
        <v>110</v>
      </c>
      <c r="AC9" s="332">
        <v>120</v>
      </c>
      <c r="AD9" s="332">
        <v>130</v>
      </c>
      <c r="AE9" s="332">
        <v>140</v>
      </c>
      <c r="AF9" s="332">
        <v>150</v>
      </c>
      <c r="AG9" s="332">
        <v>160</v>
      </c>
      <c r="AH9" s="332">
        <v>170</v>
      </c>
      <c r="AI9" s="360">
        <v>180</v>
      </c>
      <c r="AL9" s="707"/>
      <c r="AM9" s="332">
        <v>-30</v>
      </c>
      <c r="AN9" s="332">
        <v>-20</v>
      </c>
      <c r="AO9" s="332">
        <v>-10</v>
      </c>
      <c r="AP9" s="332">
        <v>0</v>
      </c>
      <c r="AQ9" s="332">
        <v>10</v>
      </c>
      <c r="AR9" s="332">
        <v>20</v>
      </c>
      <c r="AS9" s="332">
        <v>30</v>
      </c>
      <c r="AT9" s="332">
        <v>40</v>
      </c>
      <c r="AU9" s="332">
        <v>50</v>
      </c>
      <c r="AV9" s="332">
        <v>60</v>
      </c>
      <c r="AW9" s="332">
        <v>70</v>
      </c>
      <c r="AX9" s="332">
        <v>80</v>
      </c>
      <c r="AY9" s="332">
        <v>90</v>
      </c>
      <c r="AZ9" s="332">
        <v>100</v>
      </c>
      <c r="BA9" s="332">
        <v>110</v>
      </c>
      <c r="BB9" s="332">
        <v>120</v>
      </c>
      <c r="BC9" s="332">
        <v>130</v>
      </c>
      <c r="BD9" s="332">
        <v>140</v>
      </c>
      <c r="BE9" s="332">
        <v>150</v>
      </c>
      <c r="BF9" s="332">
        <v>160</v>
      </c>
      <c r="BG9" s="332">
        <v>170</v>
      </c>
      <c r="BH9" s="360">
        <v>180</v>
      </c>
    </row>
    <row r="10" spans="2:60" x14ac:dyDescent="0.25">
      <c r="B10" s="717" t="s">
        <v>516</v>
      </c>
      <c r="C10" s="718"/>
      <c r="D10" s="354" t="s">
        <v>517</v>
      </c>
      <c r="E10" s="355">
        <f>N63</f>
        <v>25</v>
      </c>
      <c r="F10" s="356" t="s">
        <v>445</v>
      </c>
      <c r="G10" s="202">
        <f>P63</f>
        <v>87.3</v>
      </c>
      <c r="H10" s="340" t="str">
        <f t="shared" si="0"/>
        <v>PASS</v>
      </c>
      <c r="I10" s="202">
        <f>AO63</f>
        <v>99.1</v>
      </c>
      <c r="J10" s="341" t="str">
        <f t="shared" si="0"/>
        <v>PASS</v>
      </c>
      <c r="M10" s="363" t="s">
        <v>527</v>
      </c>
      <c r="N10" s="340">
        <v>-1.2769999999999999</v>
      </c>
      <c r="O10" s="340">
        <v>-1.073</v>
      </c>
      <c r="P10" s="340">
        <v>-0.64800000000000002</v>
      </c>
      <c r="Q10" s="340">
        <v>6.0000000000000001E-3</v>
      </c>
      <c r="R10" s="340">
        <v>0.69599999999999995</v>
      </c>
      <c r="S10" s="340">
        <v>1.1359999999999999</v>
      </c>
      <c r="T10" s="340">
        <v>1.335</v>
      </c>
      <c r="U10" s="340">
        <v>1.4219999999999999</v>
      </c>
      <c r="V10" s="340">
        <v>1.4610000000000001</v>
      </c>
      <c r="W10" s="340">
        <v>1.4630000000000001</v>
      </c>
      <c r="X10" s="340">
        <v>1.4970000000000001</v>
      </c>
      <c r="Y10" s="340">
        <v>1.6160000000000001</v>
      </c>
      <c r="Z10" s="340">
        <v>1.639</v>
      </c>
      <c r="AA10" s="340">
        <v>1.4510000000000001</v>
      </c>
      <c r="AB10" s="340">
        <v>1.0820000000000001</v>
      </c>
      <c r="AC10" s="340">
        <v>0.65700000000000003</v>
      </c>
      <c r="AD10" s="340">
        <v>0.307</v>
      </c>
      <c r="AE10" s="340">
        <v>5.8000000000000003E-2</v>
      </c>
      <c r="AF10" s="340">
        <v>-6.5000000000000002E-2</v>
      </c>
      <c r="AG10" s="340">
        <v>-6.2E-2</v>
      </c>
      <c r="AH10" s="340">
        <v>-6.2E-2</v>
      </c>
      <c r="AI10" s="341">
        <v>-6.4000000000000001E-2</v>
      </c>
      <c r="AL10" s="363" t="s">
        <v>527</v>
      </c>
      <c r="AM10" s="340">
        <v>-4.742</v>
      </c>
      <c r="AN10" s="340">
        <v>-3.97</v>
      </c>
      <c r="AO10" s="340">
        <v>-2.0470000000000002</v>
      </c>
      <c r="AP10" s="340">
        <v>-1.6E-2</v>
      </c>
      <c r="AQ10" s="340">
        <v>2.016</v>
      </c>
      <c r="AR10" s="340">
        <v>3.9449999999999998</v>
      </c>
      <c r="AS10" s="340">
        <v>4.7210000000000001</v>
      </c>
      <c r="AT10" s="340">
        <v>4.4820000000000002</v>
      </c>
      <c r="AU10" s="340">
        <v>4.133</v>
      </c>
      <c r="AV10" s="340">
        <v>3.7120000000000002</v>
      </c>
      <c r="AW10" s="340">
        <v>3.3370000000000002</v>
      </c>
      <c r="AX10" s="340">
        <v>3.5790000000000002</v>
      </c>
      <c r="AY10" s="340">
        <v>4.9420000000000002</v>
      </c>
      <c r="AZ10" s="340">
        <v>5.3680000000000003</v>
      </c>
      <c r="BA10" s="340">
        <v>4.9740000000000002</v>
      </c>
      <c r="BB10" s="340">
        <v>4.1050000000000004</v>
      </c>
      <c r="BC10" s="340">
        <v>3.0049999999999999</v>
      </c>
      <c r="BD10" s="340">
        <v>1.7709999999999999</v>
      </c>
      <c r="BE10" s="340">
        <v>0.53300000000000003</v>
      </c>
      <c r="BF10" s="340">
        <v>-0.56299999999999994</v>
      </c>
      <c r="BG10" s="340">
        <v>-1.0920000000000001</v>
      </c>
      <c r="BH10" s="341">
        <v>1.2999999999999999E-2</v>
      </c>
    </row>
    <row r="11" spans="2:60" ht="30" x14ac:dyDescent="0.25">
      <c r="B11" s="717" t="s">
        <v>518</v>
      </c>
      <c r="C11" s="718"/>
      <c r="D11" s="354" t="s">
        <v>517</v>
      </c>
      <c r="E11" s="355">
        <f>N67</f>
        <v>0.15</v>
      </c>
      <c r="F11" s="356" t="s">
        <v>71</v>
      </c>
      <c r="G11" s="202">
        <f>P67</f>
        <v>4.0279999999999996</v>
      </c>
      <c r="H11" s="340" t="str">
        <f t="shared" si="0"/>
        <v>PASS</v>
      </c>
      <c r="I11" s="202">
        <f>AO67</f>
        <v>11.683999999999999</v>
      </c>
      <c r="J11" s="341" t="str">
        <f t="shared" si="0"/>
        <v>PASS</v>
      </c>
      <c r="M11" s="364" t="s">
        <v>528</v>
      </c>
      <c r="N11" s="202">
        <v>24.034199999999998</v>
      </c>
      <c r="O11" s="202">
        <v>12.171099999999999</v>
      </c>
      <c r="P11" s="202">
        <v>3.3460999999999999</v>
      </c>
      <c r="Q11" s="202">
        <v>1.12E-2</v>
      </c>
      <c r="R11" s="202">
        <v>3.6145</v>
      </c>
      <c r="S11" s="202">
        <v>13.0159</v>
      </c>
      <c r="T11" s="202">
        <v>25.520099999999999</v>
      </c>
      <c r="U11" s="202">
        <v>39.363100000000003</v>
      </c>
      <c r="V11" s="202">
        <v>53.816299999999998</v>
      </c>
      <c r="W11" s="202">
        <v>68.447699999999998</v>
      </c>
      <c r="X11" s="202">
        <v>83.171199999999999</v>
      </c>
      <c r="Y11" s="202">
        <v>98.723699999999994</v>
      </c>
      <c r="Z11" s="202">
        <v>115.1464</v>
      </c>
      <c r="AA11" s="202">
        <v>130.7757</v>
      </c>
      <c r="AB11" s="202">
        <v>143.54759999999999</v>
      </c>
      <c r="AC11" s="202">
        <v>152.22190000000001</v>
      </c>
      <c r="AD11" s="202">
        <v>156.9599</v>
      </c>
      <c r="AE11" s="202">
        <v>158.6927</v>
      </c>
      <c r="AF11" s="202">
        <v>158.5343</v>
      </c>
      <c r="AG11" s="202">
        <v>157.84700000000001</v>
      </c>
      <c r="AH11" s="202">
        <v>157.2396</v>
      </c>
      <c r="AI11" s="337">
        <v>156.60300000000001</v>
      </c>
      <c r="AL11" s="364" t="s">
        <v>528</v>
      </c>
      <c r="AM11" s="202">
        <v>85.216700000000003</v>
      </c>
      <c r="AN11" s="202">
        <v>40.9161</v>
      </c>
      <c r="AO11" s="202">
        <v>10.2066</v>
      </c>
      <c r="AP11" s="202">
        <v>-2.92E-2</v>
      </c>
      <c r="AQ11" s="202">
        <v>9.9057999999999993</v>
      </c>
      <c r="AR11" s="202">
        <v>40.237299999999998</v>
      </c>
      <c r="AS11" s="202">
        <v>84.669499999999999</v>
      </c>
      <c r="AT11" s="202">
        <v>131.10400000000001</v>
      </c>
      <c r="AU11" s="202">
        <v>174.16909999999999</v>
      </c>
      <c r="AV11" s="202">
        <v>213.45359999999999</v>
      </c>
      <c r="AW11" s="202">
        <v>248.52350000000001</v>
      </c>
      <c r="AX11" s="202">
        <v>282.09660000000002</v>
      </c>
      <c r="AY11" s="202">
        <v>324.58580000000001</v>
      </c>
      <c r="AZ11" s="202">
        <v>377.1345</v>
      </c>
      <c r="BA11" s="202">
        <v>429.32690000000002</v>
      </c>
      <c r="BB11" s="202">
        <v>475.00360000000001</v>
      </c>
      <c r="BC11" s="202">
        <v>510.69330000000002</v>
      </c>
      <c r="BD11" s="202">
        <v>534.63720000000001</v>
      </c>
      <c r="BE11" s="202">
        <v>546.0915</v>
      </c>
      <c r="BF11" s="202">
        <v>545.78599999999994</v>
      </c>
      <c r="BG11" s="202">
        <v>536.43420000000003</v>
      </c>
      <c r="BH11" s="337">
        <v>530.04880000000003</v>
      </c>
    </row>
    <row r="12" spans="2:60" x14ac:dyDescent="0.25">
      <c r="B12" s="717" t="s">
        <v>520</v>
      </c>
      <c r="C12" s="718"/>
      <c r="D12" s="354" t="s">
        <v>524</v>
      </c>
      <c r="E12" s="355">
        <f>N75</f>
        <v>10</v>
      </c>
      <c r="F12" s="356" t="s">
        <v>445</v>
      </c>
      <c r="G12" s="202">
        <f>P75</f>
        <v>-0.1</v>
      </c>
      <c r="H12" s="340" t="str">
        <f>IF(G12&lt;=$E12,"PASS","FAIL")</f>
        <v>PASS</v>
      </c>
      <c r="I12" s="202">
        <f>AO75</f>
        <v>0.1</v>
      </c>
      <c r="J12" s="341" t="str">
        <f>IF(I12&lt;=$E12,"PASS","FAIL")</f>
        <v>PASS</v>
      </c>
      <c r="M12" s="364" t="s">
        <v>529</v>
      </c>
      <c r="N12" s="202">
        <v>105803</v>
      </c>
      <c r="O12" s="202">
        <v>105803</v>
      </c>
      <c r="P12" s="202">
        <v>105802</v>
      </c>
      <c r="Q12" s="202">
        <v>105804</v>
      </c>
      <c r="R12" s="202">
        <v>105803</v>
      </c>
      <c r="S12" s="202">
        <v>105803</v>
      </c>
      <c r="T12" s="202">
        <v>105803</v>
      </c>
      <c r="U12" s="202">
        <v>105803</v>
      </c>
      <c r="V12" s="202">
        <v>105803</v>
      </c>
      <c r="W12" s="202">
        <v>105805</v>
      </c>
      <c r="X12" s="202">
        <v>105807</v>
      </c>
      <c r="Y12" s="202">
        <v>105798</v>
      </c>
      <c r="Z12" s="202">
        <v>105796</v>
      </c>
      <c r="AA12" s="202">
        <v>105798</v>
      </c>
      <c r="AB12" s="202">
        <v>105809</v>
      </c>
      <c r="AC12" s="202">
        <v>105813</v>
      </c>
      <c r="AD12" s="202">
        <v>105811</v>
      </c>
      <c r="AE12" s="202">
        <v>105801</v>
      </c>
      <c r="AF12" s="202">
        <v>105798</v>
      </c>
      <c r="AG12" s="202">
        <v>105802</v>
      </c>
      <c r="AH12" s="202">
        <v>105799</v>
      </c>
      <c r="AI12" s="337">
        <v>105795</v>
      </c>
      <c r="AL12" s="364" t="s">
        <v>529</v>
      </c>
      <c r="AM12" s="202">
        <v>140202</v>
      </c>
      <c r="AN12" s="202">
        <v>140201</v>
      </c>
      <c r="AO12" s="202">
        <v>140195</v>
      </c>
      <c r="AP12" s="202">
        <v>140201</v>
      </c>
      <c r="AQ12" s="202">
        <v>140201</v>
      </c>
      <c r="AR12" s="202">
        <v>140203</v>
      </c>
      <c r="AS12" s="202">
        <v>140210</v>
      </c>
      <c r="AT12" s="202">
        <v>140207</v>
      </c>
      <c r="AU12" s="202">
        <v>140201</v>
      </c>
      <c r="AV12" s="202">
        <v>140201</v>
      </c>
      <c r="AW12" s="202">
        <v>140202</v>
      </c>
      <c r="AX12" s="202">
        <v>140195</v>
      </c>
      <c r="AY12" s="202">
        <v>140204</v>
      </c>
      <c r="AZ12" s="202">
        <v>140202</v>
      </c>
      <c r="BA12" s="202">
        <v>140204</v>
      </c>
      <c r="BB12" s="202">
        <v>140201</v>
      </c>
      <c r="BC12" s="202">
        <v>140199</v>
      </c>
      <c r="BD12" s="202">
        <v>140198</v>
      </c>
      <c r="BE12" s="202">
        <v>140199</v>
      </c>
      <c r="BF12" s="202">
        <v>140203</v>
      </c>
      <c r="BG12" s="202">
        <v>140204</v>
      </c>
      <c r="BH12" s="337">
        <v>140200</v>
      </c>
    </row>
    <row r="13" spans="2:60" x14ac:dyDescent="0.25">
      <c r="B13" s="717" t="s">
        <v>521</v>
      </c>
      <c r="C13" s="718"/>
      <c r="D13" s="354" t="s">
        <v>524</v>
      </c>
      <c r="E13" s="355">
        <f>N86</f>
        <v>10</v>
      </c>
      <c r="F13" s="356" t="s">
        <v>445</v>
      </c>
      <c r="G13" s="202">
        <f>P86</f>
        <v>-0.1</v>
      </c>
      <c r="H13" s="340" t="str">
        <f t="shared" ref="H13:J15" si="1">IF(G13&lt;=$E13,"PASS","FAIL")</f>
        <v>PASS</v>
      </c>
      <c r="I13" s="202">
        <f>AO86</f>
        <v>0.1</v>
      </c>
      <c r="J13" s="341" t="str">
        <f t="shared" si="1"/>
        <v>PASS</v>
      </c>
      <c r="M13" s="364" t="s">
        <v>530</v>
      </c>
      <c r="N13" s="202">
        <v>-1.72</v>
      </c>
      <c r="O13" s="202">
        <v>-1.006</v>
      </c>
      <c r="P13" s="202">
        <v>-0.58699999999999997</v>
      </c>
      <c r="Q13" s="202">
        <v>-0.43099999999999999</v>
      </c>
      <c r="R13" s="202">
        <v>-0.50700000000000001</v>
      </c>
      <c r="S13" s="202">
        <v>-0.85199999999999998</v>
      </c>
      <c r="T13" s="202">
        <v>-1.484</v>
      </c>
      <c r="U13" s="202">
        <v>-2.4470000000000001</v>
      </c>
      <c r="V13" s="202">
        <v>-3.9129999999999998</v>
      </c>
      <c r="W13" s="202">
        <v>-6.4390000000000001</v>
      </c>
      <c r="X13" s="202">
        <v>-11.769</v>
      </c>
      <c r="Y13" s="202">
        <v>-29.167999999999999</v>
      </c>
      <c r="Z13" s="202" t="s">
        <v>452</v>
      </c>
      <c r="AA13" s="202">
        <v>-50.664999999999999</v>
      </c>
      <c r="AB13" s="202">
        <v>-35.939</v>
      </c>
      <c r="AC13" s="202">
        <v>-33.043999999999997</v>
      </c>
      <c r="AD13" s="202">
        <v>-31.149000000000001</v>
      </c>
      <c r="AE13" s="202">
        <v>-28.88</v>
      </c>
      <c r="AF13" s="202">
        <v>-26.495000000000001</v>
      </c>
      <c r="AG13" s="202">
        <v>-24.885999999999999</v>
      </c>
      <c r="AH13" s="202">
        <v>-26.553000000000001</v>
      </c>
      <c r="AI13" s="337">
        <v>-24.93</v>
      </c>
      <c r="AL13" s="364" t="s">
        <v>530</v>
      </c>
      <c r="AM13" s="202">
        <v>2.097</v>
      </c>
      <c r="AN13" s="202">
        <v>2.835</v>
      </c>
      <c r="AO13" s="202">
        <v>3.0659999999999998</v>
      </c>
      <c r="AP13" s="202">
        <v>3.1280000000000001</v>
      </c>
      <c r="AQ13" s="202">
        <v>3.0649999999999999</v>
      </c>
      <c r="AR13" s="202">
        <v>2.8359999999999999</v>
      </c>
      <c r="AS13" s="202">
        <v>2.0990000000000002</v>
      </c>
      <c r="AT13" s="202">
        <v>0.85599999999999998</v>
      </c>
      <c r="AU13" s="202">
        <v>-0.83099999999999996</v>
      </c>
      <c r="AV13" s="202">
        <v>-3.4220000000000002</v>
      </c>
      <c r="AW13" s="202">
        <v>-8.3339999999999996</v>
      </c>
      <c r="AX13" s="202">
        <v>-22.826000000000001</v>
      </c>
      <c r="AY13" s="202" t="s">
        <v>452</v>
      </c>
      <c r="AZ13" s="202">
        <v>-34.710999999999999</v>
      </c>
      <c r="BA13" s="202">
        <v>-20.736000000000001</v>
      </c>
      <c r="BB13" s="202">
        <v>-16.088999999999999</v>
      </c>
      <c r="BC13" s="202">
        <v>-13.891</v>
      </c>
      <c r="BD13" s="202">
        <v>-12.433</v>
      </c>
      <c r="BE13" s="202">
        <v>-11.455</v>
      </c>
      <c r="BF13" s="202">
        <v>-10.779</v>
      </c>
      <c r="BG13" s="202">
        <v>-10.378</v>
      </c>
      <c r="BH13" s="337">
        <v>-10.305999999999999</v>
      </c>
    </row>
    <row r="14" spans="2:60" x14ac:dyDescent="0.25">
      <c r="B14" s="712" t="s">
        <v>522</v>
      </c>
      <c r="C14" s="352" t="s">
        <v>523</v>
      </c>
      <c r="D14" s="354" t="s">
        <v>524</v>
      </c>
      <c r="E14" s="355">
        <f>N109</f>
        <v>16</v>
      </c>
      <c r="F14" s="356" t="s">
        <v>445</v>
      </c>
      <c r="G14" s="202">
        <f>P109</f>
        <v>5.4</v>
      </c>
      <c r="H14" s="340" t="str">
        <f t="shared" si="1"/>
        <v>PASS</v>
      </c>
      <c r="I14" s="202">
        <f>AO109</f>
        <v>1.9</v>
      </c>
      <c r="J14" s="341" t="str">
        <f t="shared" si="1"/>
        <v>PASS</v>
      </c>
      <c r="M14" s="364" t="s">
        <v>531</v>
      </c>
      <c r="N14" s="202">
        <v>2.2360000000000002</v>
      </c>
      <c r="O14" s="202">
        <v>2.1629999999999998</v>
      </c>
      <c r="P14" s="202">
        <v>2.1040000000000001</v>
      </c>
      <c r="Q14" s="202">
        <v>2.0619999999999998</v>
      </c>
      <c r="R14" s="202">
        <v>2.0329999999999999</v>
      </c>
      <c r="S14" s="202">
        <v>2.0310000000000001</v>
      </c>
      <c r="T14" s="202">
        <v>2.0430000000000001</v>
      </c>
      <c r="U14" s="202">
        <v>2.0219999999999998</v>
      </c>
      <c r="V14" s="202">
        <v>1.907</v>
      </c>
      <c r="W14" s="202">
        <v>1.67</v>
      </c>
      <c r="X14" s="202">
        <v>1.167</v>
      </c>
      <c r="Y14" s="202">
        <v>-8.1000000000000003E-2</v>
      </c>
      <c r="Z14" s="202" t="s">
        <v>452</v>
      </c>
      <c r="AA14" s="202">
        <v>-0.378</v>
      </c>
      <c r="AB14" s="202">
        <v>1.7849999999999999</v>
      </c>
      <c r="AC14" s="202">
        <v>3.0150000000000001</v>
      </c>
      <c r="AD14" s="202">
        <v>3.2639999999999998</v>
      </c>
      <c r="AE14" s="202">
        <v>2.9279999999999999</v>
      </c>
      <c r="AF14" s="202">
        <v>2.3690000000000002</v>
      </c>
      <c r="AG14" s="202">
        <v>1.891</v>
      </c>
      <c r="AH14" s="202">
        <v>2.2170000000000001</v>
      </c>
      <c r="AI14" s="337">
        <v>1.782</v>
      </c>
      <c r="AL14" s="364" t="s">
        <v>531</v>
      </c>
      <c r="AM14" s="202">
        <v>2.097</v>
      </c>
      <c r="AN14" s="202">
        <v>2.835</v>
      </c>
      <c r="AO14" s="202">
        <v>3.0659999999999998</v>
      </c>
      <c r="AP14" s="202">
        <v>3.1280000000000001</v>
      </c>
      <c r="AQ14" s="202">
        <v>3.0649999999999999</v>
      </c>
      <c r="AR14" s="202">
        <v>2.8359999999999999</v>
      </c>
      <c r="AS14" s="202">
        <v>2.0990000000000002</v>
      </c>
      <c r="AT14" s="202">
        <v>0.85599999999999998</v>
      </c>
      <c r="AU14" s="202">
        <v>-0.83099999999999996</v>
      </c>
      <c r="AV14" s="202">
        <v>-3.4220000000000002</v>
      </c>
      <c r="AW14" s="202">
        <v>-8.3339999999999996</v>
      </c>
      <c r="AX14" s="202">
        <v>-22.826000000000001</v>
      </c>
      <c r="AY14" s="202" t="s">
        <v>452</v>
      </c>
      <c r="AZ14" s="202">
        <v>-34.710999999999999</v>
      </c>
      <c r="BA14" s="202">
        <v>-20.736000000000001</v>
      </c>
      <c r="BB14" s="202">
        <v>-16.088999999999999</v>
      </c>
      <c r="BC14" s="202">
        <v>-13.891</v>
      </c>
      <c r="BD14" s="202">
        <v>-12.433</v>
      </c>
      <c r="BE14" s="202">
        <v>-11.455</v>
      </c>
      <c r="BF14" s="202">
        <v>-10.779</v>
      </c>
      <c r="BG14" s="202">
        <v>-10.378</v>
      </c>
      <c r="BH14" s="337">
        <v>-10.305999999999999</v>
      </c>
    </row>
    <row r="15" spans="2:60" ht="45" x14ac:dyDescent="0.25">
      <c r="B15" s="712"/>
      <c r="C15" s="351" t="s">
        <v>525</v>
      </c>
      <c r="D15" s="354" t="s">
        <v>524</v>
      </c>
      <c r="E15" s="355">
        <f t="shared" ref="E15:E16" si="2">N110</f>
        <v>80</v>
      </c>
      <c r="F15" s="356" t="s">
        <v>475</v>
      </c>
      <c r="G15" s="202">
        <f>P110</f>
        <v>53.95</v>
      </c>
      <c r="H15" s="340" t="str">
        <f t="shared" si="1"/>
        <v>PASS</v>
      </c>
      <c r="I15" s="202">
        <f t="shared" ref="I15:I16" si="3">AO110</f>
        <v>19.350000000000001</v>
      </c>
      <c r="J15" s="341" t="str">
        <f t="shared" si="1"/>
        <v>PASS</v>
      </c>
      <c r="M15" s="364" t="s">
        <v>532</v>
      </c>
      <c r="N15" s="202">
        <v>19.706</v>
      </c>
      <c r="O15" s="202">
        <v>20.091000000000001</v>
      </c>
      <c r="P15" s="202">
        <v>20.41</v>
      </c>
      <c r="Q15" s="202">
        <v>21.187000000000001</v>
      </c>
      <c r="R15" s="202">
        <v>20.707999999999998</v>
      </c>
      <c r="S15" s="202">
        <v>20.472000000000001</v>
      </c>
      <c r="T15" s="202">
        <v>20.148</v>
      </c>
      <c r="U15" s="202">
        <v>19.93</v>
      </c>
      <c r="V15" s="202">
        <v>19.827000000000002</v>
      </c>
      <c r="W15" s="202">
        <v>19.422000000000001</v>
      </c>
      <c r="X15" s="202">
        <v>18.613</v>
      </c>
      <c r="Y15" s="202">
        <v>17.117999999999999</v>
      </c>
      <c r="Z15" s="202">
        <v>14.971</v>
      </c>
      <c r="AA15" s="202">
        <v>15.601000000000001</v>
      </c>
      <c r="AB15" s="202">
        <v>15.382</v>
      </c>
      <c r="AC15" s="202">
        <v>15.307</v>
      </c>
      <c r="AD15" s="202">
        <v>15.515000000000001</v>
      </c>
      <c r="AE15" s="202">
        <v>14.598000000000001</v>
      </c>
      <c r="AF15" s="202">
        <v>13.816000000000001</v>
      </c>
      <c r="AG15" s="202">
        <v>12.771000000000001</v>
      </c>
      <c r="AH15" s="202">
        <v>11.044</v>
      </c>
      <c r="AI15" s="337">
        <v>10.384</v>
      </c>
      <c r="AL15" s="364" t="s">
        <v>532</v>
      </c>
      <c r="AM15" s="202">
        <v>24.236999999999998</v>
      </c>
      <c r="AN15" s="202">
        <v>24.143999999999998</v>
      </c>
      <c r="AO15" s="202">
        <v>23.878</v>
      </c>
      <c r="AP15" s="202">
        <v>23.510999999999999</v>
      </c>
      <c r="AQ15" s="202">
        <v>23.878</v>
      </c>
      <c r="AR15" s="202">
        <v>24.145</v>
      </c>
      <c r="AS15" s="202">
        <v>24.236999999999998</v>
      </c>
      <c r="AT15" s="202">
        <v>24.225999999999999</v>
      </c>
      <c r="AU15" s="202">
        <v>24.207000000000001</v>
      </c>
      <c r="AV15" s="202">
        <v>24.173999999999999</v>
      </c>
      <c r="AW15" s="202">
        <v>24.091999999999999</v>
      </c>
      <c r="AX15" s="202">
        <v>23.672000000000001</v>
      </c>
      <c r="AY15" s="202">
        <v>21.998000000000001</v>
      </c>
      <c r="AZ15" s="202">
        <v>21.605</v>
      </c>
      <c r="BA15" s="202">
        <v>20.55</v>
      </c>
      <c r="BB15" s="202">
        <v>20.55</v>
      </c>
      <c r="BC15" s="202">
        <v>17.87</v>
      </c>
      <c r="BD15" s="202">
        <v>17.87</v>
      </c>
      <c r="BE15" s="202">
        <v>17.87</v>
      </c>
      <c r="BF15" s="202">
        <v>17.87</v>
      </c>
      <c r="BG15" s="202">
        <v>17.87</v>
      </c>
      <c r="BH15" s="337">
        <v>17.581</v>
      </c>
    </row>
    <row r="16" spans="2:60" ht="15.75" thickBot="1" x14ac:dyDescent="0.3">
      <c r="B16" s="713"/>
      <c r="C16" s="353" t="s">
        <v>526</v>
      </c>
      <c r="D16" s="357" t="s">
        <v>517</v>
      </c>
      <c r="E16" s="358">
        <f t="shared" si="2"/>
        <v>100</v>
      </c>
      <c r="F16" s="359" t="s">
        <v>475</v>
      </c>
      <c r="G16" s="390">
        <f>P111</f>
        <v>100.81</v>
      </c>
      <c r="H16" s="391" t="str">
        <f>IF(G16&gt;=$E16,"PASS","FAIL")</f>
        <v>PASS</v>
      </c>
      <c r="I16" s="338">
        <f t="shared" si="3"/>
        <v>220.98</v>
      </c>
      <c r="J16" s="384" t="str">
        <f>IF(I16&gt;=$E16,"PASS","FAIL")</f>
        <v>PASS</v>
      </c>
      <c r="M16" s="364" t="s">
        <v>533</v>
      </c>
      <c r="N16" s="202">
        <v>6.6669999999999998</v>
      </c>
      <c r="O16" s="202">
        <v>6.9379999999999997</v>
      </c>
      <c r="P16" s="202">
        <v>7.6870000000000003</v>
      </c>
      <c r="Q16" s="202">
        <v>7.57</v>
      </c>
      <c r="R16" s="202">
        <v>7.6870000000000003</v>
      </c>
      <c r="S16" s="202">
        <v>6.8250000000000002</v>
      </c>
      <c r="T16" s="202">
        <v>6.52</v>
      </c>
      <c r="U16" s="202">
        <v>6.4960000000000004</v>
      </c>
      <c r="V16" s="202">
        <v>6.694</v>
      </c>
      <c r="W16" s="202">
        <v>6.6550000000000002</v>
      </c>
      <c r="X16" s="202">
        <v>8.093</v>
      </c>
      <c r="Y16" s="202">
        <v>7.6360000000000001</v>
      </c>
      <c r="Z16" s="202">
        <v>7.3869999999999996</v>
      </c>
      <c r="AA16" s="202">
        <v>7.33</v>
      </c>
      <c r="AB16" s="202">
        <v>7.4610000000000003</v>
      </c>
      <c r="AC16" s="202">
        <v>7.4349999999999996</v>
      </c>
      <c r="AD16" s="202">
        <v>6.7069999999999999</v>
      </c>
      <c r="AE16" s="202">
        <v>6.9569999999999999</v>
      </c>
      <c r="AF16" s="202">
        <v>7.9429999999999996</v>
      </c>
      <c r="AG16" s="202">
        <v>8.0559999999999992</v>
      </c>
      <c r="AH16" s="202">
        <v>7.6870000000000003</v>
      </c>
      <c r="AI16" s="337">
        <v>7.57</v>
      </c>
      <c r="AL16" s="364" t="s">
        <v>533</v>
      </c>
      <c r="AM16" s="202">
        <v>6.3339999999999996</v>
      </c>
      <c r="AN16" s="202">
        <v>11.941000000000001</v>
      </c>
      <c r="AO16" s="202">
        <v>11.601000000000001</v>
      </c>
      <c r="AP16" s="202">
        <v>11.475</v>
      </c>
      <c r="AQ16" s="202">
        <v>11.601000000000001</v>
      </c>
      <c r="AR16" s="202">
        <v>11.941000000000001</v>
      </c>
      <c r="AS16" s="202">
        <v>6.335</v>
      </c>
      <c r="AT16" s="202">
        <v>6.3179999999999996</v>
      </c>
      <c r="AU16" s="202">
        <v>6.2549999999999999</v>
      </c>
      <c r="AV16" s="202">
        <v>6.3049999999999997</v>
      </c>
      <c r="AW16" s="202">
        <v>6.9370000000000003</v>
      </c>
      <c r="AX16" s="202">
        <v>10.593</v>
      </c>
      <c r="AY16" s="202">
        <v>10.673</v>
      </c>
      <c r="AZ16" s="202">
        <v>8.5570000000000004</v>
      </c>
      <c r="BA16" s="202">
        <v>7.0609999999999999</v>
      </c>
      <c r="BB16" s="202">
        <v>6.3460000000000001</v>
      </c>
      <c r="BC16" s="202">
        <v>5.8570000000000002</v>
      </c>
      <c r="BD16" s="202">
        <v>5.8890000000000002</v>
      </c>
      <c r="BE16" s="202">
        <v>6.319</v>
      </c>
      <c r="BF16" s="202">
        <v>7.3940000000000001</v>
      </c>
      <c r="BG16" s="202">
        <v>10.257999999999999</v>
      </c>
      <c r="BH16" s="337">
        <v>12.247999999999999</v>
      </c>
    </row>
    <row r="17" spans="12:60" x14ac:dyDescent="0.25">
      <c r="M17" s="364" t="s">
        <v>534</v>
      </c>
      <c r="N17" s="202">
        <v>132.67500000000001</v>
      </c>
      <c r="O17" s="202">
        <v>138.27600000000001</v>
      </c>
      <c r="P17" s="202">
        <v>145.71700000000001</v>
      </c>
      <c r="Q17" s="202">
        <v>157.523</v>
      </c>
      <c r="R17" s="202">
        <v>154.791</v>
      </c>
      <c r="S17" s="202">
        <v>147.13499999999999</v>
      </c>
      <c r="T17" s="202">
        <v>140.51</v>
      </c>
      <c r="U17" s="202">
        <v>136.767</v>
      </c>
      <c r="V17" s="202">
        <v>134.16999999999999</v>
      </c>
      <c r="W17" s="202">
        <v>133.25200000000001</v>
      </c>
      <c r="X17" s="202">
        <v>135.947</v>
      </c>
      <c r="Y17" s="202">
        <v>134.68199999999999</v>
      </c>
      <c r="Z17" s="202">
        <v>133.309</v>
      </c>
      <c r="AA17" s="202">
        <v>129.53100000000001</v>
      </c>
      <c r="AB17" s="202">
        <v>122.128</v>
      </c>
      <c r="AC17" s="202">
        <v>121.039</v>
      </c>
      <c r="AD17" s="202">
        <v>121.994</v>
      </c>
      <c r="AE17" s="202">
        <v>121.91200000000001</v>
      </c>
      <c r="AF17" s="202">
        <v>123.657</v>
      </c>
      <c r="AG17" s="202">
        <v>123.997</v>
      </c>
      <c r="AH17" s="202">
        <v>133.60599999999999</v>
      </c>
      <c r="AI17" s="337">
        <v>131.697</v>
      </c>
      <c r="AL17" s="364" t="s">
        <v>534</v>
      </c>
      <c r="AM17" s="202">
        <v>210.899</v>
      </c>
      <c r="AN17" s="202">
        <v>242.661</v>
      </c>
      <c r="AO17" s="202">
        <v>260.82799999999997</v>
      </c>
      <c r="AP17" s="202">
        <v>264.24</v>
      </c>
      <c r="AQ17" s="202">
        <v>263.75599999999997</v>
      </c>
      <c r="AR17" s="202">
        <v>244.04400000000001</v>
      </c>
      <c r="AS17" s="202">
        <v>212.255</v>
      </c>
      <c r="AT17" s="202">
        <v>213.095</v>
      </c>
      <c r="AU17" s="202">
        <v>213.98</v>
      </c>
      <c r="AV17" s="202">
        <v>215.08099999999999</v>
      </c>
      <c r="AW17" s="202">
        <v>218.48099999999999</v>
      </c>
      <c r="AX17" s="202">
        <v>231.09800000000001</v>
      </c>
      <c r="AY17" s="202">
        <v>208.197</v>
      </c>
      <c r="AZ17" s="202">
        <v>172.64599999999999</v>
      </c>
      <c r="BA17" s="202">
        <v>157.845</v>
      </c>
      <c r="BB17" s="202">
        <v>147.017</v>
      </c>
      <c r="BC17" s="202">
        <v>153.84</v>
      </c>
      <c r="BD17" s="202">
        <v>152.732</v>
      </c>
      <c r="BE17" s="202">
        <v>156.238</v>
      </c>
      <c r="BF17" s="202">
        <v>167.26499999999999</v>
      </c>
      <c r="BG17" s="202">
        <v>200.61099999999999</v>
      </c>
      <c r="BH17" s="337">
        <v>218.333</v>
      </c>
    </row>
    <row r="18" spans="12:60" x14ac:dyDescent="0.25">
      <c r="M18" s="364" t="s">
        <v>535</v>
      </c>
      <c r="N18" s="202">
        <v>88.899000000000001</v>
      </c>
      <c r="O18" s="202">
        <v>100.96899999999999</v>
      </c>
      <c r="P18" s="202">
        <v>118</v>
      </c>
      <c r="Q18" s="202">
        <v>128.39500000000001</v>
      </c>
      <c r="R18" s="202">
        <v>122.41500000000001</v>
      </c>
      <c r="S18" s="202">
        <v>104.768</v>
      </c>
      <c r="T18" s="202">
        <v>91.108999999999995</v>
      </c>
      <c r="U18" s="202">
        <v>84.119</v>
      </c>
      <c r="V18" s="202">
        <v>81.281999999999996</v>
      </c>
      <c r="W18" s="202">
        <v>78.816000000000003</v>
      </c>
      <c r="X18" s="202">
        <v>82.075999999999993</v>
      </c>
      <c r="Y18" s="202">
        <v>79.679000000000002</v>
      </c>
      <c r="Z18" s="202">
        <v>75.171999999999997</v>
      </c>
      <c r="AA18" s="202">
        <v>60.56</v>
      </c>
      <c r="AB18" s="202">
        <v>45.9</v>
      </c>
      <c r="AC18" s="202">
        <v>34.161999999999999</v>
      </c>
      <c r="AD18" s="202">
        <v>21.847000000000001</v>
      </c>
      <c r="AE18" s="202">
        <v>13.903</v>
      </c>
      <c r="AF18" s="202">
        <v>10.237</v>
      </c>
      <c r="AG18" s="202">
        <v>6.8120000000000003</v>
      </c>
      <c r="AH18" s="202">
        <v>10.808999999999999</v>
      </c>
      <c r="AI18" s="337">
        <v>10.835000000000001</v>
      </c>
      <c r="AL18" s="364" t="s">
        <v>535</v>
      </c>
      <c r="AM18" s="202">
        <v>52.680999999999997</v>
      </c>
      <c r="AN18" s="202">
        <v>67.656000000000006</v>
      </c>
      <c r="AO18" s="202">
        <v>71.349000000000004</v>
      </c>
      <c r="AP18" s="202">
        <v>71.763999999999996</v>
      </c>
      <c r="AQ18" s="202">
        <v>71.346000000000004</v>
      </c>
      <c r="AR18" s="202">
        <v>67.680999999999997</v>
      </c>
      <c r="AS18" s="202">
        <v>52.692999999999998</v>
      </c>
      <c r="AT18" s="202">
        <v>59.774000000000001</v>
      </c>
      <c r="AU18" s="202">
        <v>69.33</v>
      </c>
      <c r="AV18" s="202">
        <v>85.162999999999997</v>
      </c>
      <c r="AW18" s="202">
        <v>115.538</v>
      </c>
      <c r="AX18" s="202">
        <v>180.499</v>
      </c>
      <c r="AY18" s="202">
        <v>183.37700000000001</v>
      </c>
      <c r="AZ18" s="202">
        <v>138.506</v>
      </c>
      <c r="BA18" s="202">
        <v>116.233</v>
      </c>
      <c r="BB18" s="202">
        <v>102.313</v>
      </c>
      <c r="BC18" s="202">
        <v>98.537999999999997</v>
      </c>
      <c r="BD18" s="202">
        <v>97.293999999999997</v>
      </c>
      <c r="BE18" s="202">
        <v>102.471</v>
      </c>
      <c r="BF18" s="202">
        <v>117.33199999999999</v>
      </c>
      <c r="BG18" s="202">
        <v>157.82</v>
      </c>
      <c r="BH18" s="337">
        <v>176.65100000000001</v>
      </c>
    </row>
    <row r="19" spans="12:60" x14ac:dyDescent="0.25">
      <c r="M19" s="364" t="s">
        <v>120</v>
      </c>
      <c r="N19" s="202">
        <v>0.53600000000000003</v>
      </c>
      <c r="O19" s="202">
        <v>0.52300000000000002</v>
      </c>
      <c r="P19" s="202">
        <v>0.51200000000000001</v>
      </c>
      <c r="Q19" s="202">
        <v>0.501</v>
      </c>
      <c r="R19" s="202">
        <v>0.52700000000000002</v>
      </c>
      <c r="S19" s="202">
        <v>0.54400000000000004</v>
      </c>
      <c r="T19" s="202">
        <v>0.55900000000000005</v>
      </c>
      <c r="U19" s="202">
        <v>0.53800000000000003</v>
      </c>
      <c r="V19" s="202">
        <v>0.50900000000000001</v>
      </c>
      <c r="W19" s="202">
        <v>0.497</v>
      </c>
      <c r="X19" s="202">
        <v>0.51500000000000001</v>
      </c>
      <c r="Y19" s="202">
        <v>0.55600000000000005</v>
      </c>
      <c r="Z19" s="202">
        <v>0.58199999999999996</v>
      </c>
      <c r="AA19" s="202">
        <v>0.52600000000000002</v>
      </c>
      <c r="AB19" s="202">
        <v>0.52300000000000002</v>
      </c>
      <c r="AC19" s="202">
        <v>0.48599999999999999</v>
      </c>
      <c r="AD19" s="202">
        <v>0.46</v>
      </c>
      <c r="AE19" s="202">
        <v>0.49399999999999999</v>
      </c>
      <c r="AF19" s="202">
        <v>0.54700000000000004</v>
      </c>
      <c r="AG19" s="202">
        <v>0.61899999999999999</v>
      </c>
      <c r="AH19" s="202">
        <v>0.65600000000000003</v>
      </c>
      <c r="AI19" s="337">
        <v>0.73299999999999998</v>
      </c>
      <c r="AL19" s="364" t="s">
        <v>120</v>
      </c>
      <c r="AM19" s="202">
        <v>0.65800000000000003</v>
      </c>
      <c r="AN19" s="202">
        <v>0.64</v>
      </c>
      <c r="AO19" s="202">
        <v>0.63500000000000001</v>
      </c>
      <c r="AP19" s="202">
        <v>0.64100000000000001</v>
      </c>
      <c r="AQ19" s="202">
        <v>0.63500000000000001</v>
      </c>
      <c r="AR19" s="202">
        <v>0.64</v>
      </c>
      <c r="AS19" s="202">
        <v>0.65700000000000003</v>
      </c>
      <c r="AT19" s="202">
        <v>0.65600000000000003</v>
      </c>
      <c r="AU19" s="202">
        <v>0.65500000000000003</v>
      </c>
      <c r="AV19" s="202">
        <v>0.65100000000000002</v>
      </c>
      <c r="AW19" s="202">
        <v>0.64200000000000002</v>
      </c>
      <c r="AX19" s="202">
        <v>0.621</v>
      </c>
      <c r="AY19" s="202">
        <v>0.64700000000000002</v>
      </c>
      <c r="AZ19" s="202">
        <v>0.66700000000000004</v>
      </c>
      <c r="BA19" s="202">
        <v>0.72799999999999998</v>
      </c>
      <c r="BB19" s="202">
        <v>0.73699999999999999</v>
      </c>
      <c r="BC19" s="202">
        <v>0.90600000000000003</v>
      </c>
      <c r="BD19" s="202">
        <v>0.89700000000000002</v>
      </c>
      <c r="BE19" s="202">
        <v>0.88500000000000001</v>
      </c>
      <c r="BF19" s="202">
        <v>0.871</v>
      </c>
      <c r="BG19" s="202">
        <v>0.85099999999999998</v>
      </c>
      <c r="BH19" s="337">
        <v>0.82099999999999995</v>
      </c>
    </row>
    <row r="20" spans="12:60" x14ac:dyDescent="0.25">
      <c r="M20" s="364" t="s">
        <v>121</v>
      </c>
      <c r="N20" s="202">
        <v>0.29399999999999998</v>
      </c>
      <c r="O20" s="202">
        <v>0.35099999999999998</v>
      </c>
      <c r="P20" s="202">
        <v>0.39</v>
      </c>
      <c r="Q20" s="202">
        <v>0.41099999999999998</v>
      </c>
      <c r="R20" s="202">
        <v>0.39700000000000002</v>
      </c>
      <c r="S20" s="202">
        <v>0.35799999999999998</v>
      </c>
      <c r="T20" s="202">
        <v>0.30199999999999999</v>
      </c>
      <c r="U20" s="202">
        <v>0.26200000000000001</v>
      </c>
      <c r="V20" s="202">
        <v>0.23400000000000001</v>
      </c>
      <c r="W20" s="202">
        <v>0.23</v>
      </c>
      <c r="X20" s="202">
        <v>0.19600000000000001</v>
      </c>
      <c r="Y20" s="202">
        <v>0.22900000000000001</v>
      </c>
      <c r="Z20" s="202">
        <v>0.27100000000000002</v>
      </c>
      <c r="AA20" s="202">
        <v>0.23</v>
      </c>
      <c r="AB20" s="202">
        <v>0.19600000000000001</v>
      </c>
      <c r="AC20" s="202">
        <v>0.17899999999999999</v>
      </c>
      <c r="AD20" s="202">
        <v>0.192</v>
      </c>
      <c r="AE20" s="202">
        <v>0.20399999999999999</v>
      </c>
      <c r="AF20" s="202">
        <v>0.20499999999999999</v>
      </c>
      <c r="AG20" s="202">
        <v>0.246</v>
      </c>
      <c r="AH20" s="202">
        <v>0.32300000000000001</v>
      </c>
      <c r="AI20" s="337">
        <v>0.41599999999999998</v>
      </c>
      <c r="AL20" s="364" t="s">
        <v>121</v>
      </c>
      <c r="AM20" s="202">
        <v>0.45</v>
      </c>
      <c r="AN20" s="202">
        <v>0.32100000000000001</v>
      </c>
      <c r="AO20" s="202">
        <v>0.34599999999999997</v>
      </c>
      <c r="AP20" s="202">
        <v>0.42699999999999999</v>
      </c>
      <c r="AQ20" s="202">
        <v>0.34599999999999997</v>
      </c>
      <c r="AR20" s="202">
        <v>0.32100000000000001</v>
      </c>
      <c r="AS20" s="202">
        <v>0.45</v>
      </c>
      <c r="AT20" s="202">
        <v>0.45200000000000001</v>
      </c>
      <c r="AU20" s="202">
        <v>0.45900000000000002</v>
      </c>
      <c r="AV20" s="202">
        <v>0.46500000000000002</v>
      </c>
      <c r="AW20" s="202">
        <v>0.46800000000000003</v>
      </c>
      <c r="AX20" s="202">
        <v>0.47699999999999998</v>
      </c>
      <c r="AY20" s="202">
        <v>0.51600000000000001</v>
      </c>
      <c r="AZ20" s="202">
        <v>0.38400000000000001</v>
      </c>
      <c r="BA20" s="202">
        <v>0.38400000000000001</v>
      </c>
      <c r="BB20" s="202">
        <v>0.375</v>
      </c>
      <c r="BC20" s="202">
        <v>0.45300000000000001</v>
      </c>
      <c r="BD20" s="202">
        <v>0.44800000000000001</v>
      </c>
      <c r="BE20" s="202">
        <v>0.443</v>
      </c>
      <c r="BF20" s="202">
        <v>0.436</v>
      </c>
      <c r="BG20" s="202">
        <v>0.42499999999999999</v>
      </c>
      <c r="BH20" s="337">
        <v>0.82099999999999995</v>
      </c>
    </row>
    <row r="21" spans="12:60" x14ac:dyDescent="0.25">
      <c r="M21" s="364" t="s">
        <v>536</v>
      </c>
      <c r="N21" s="202">
        <v>7.3769999999999998</v>
      </c>
      <c r="O21" s="202">
        <v>7.4189999999999996</v>
      </c>
      <c r="P21" s="202">
        <v>7.4489999999999998</v>
      </c>
      <c r="Q21" s="202">
        <v>7.4619999999999997</v>
      </c>
      <c r="R21" s="202">
        <v>7.4539999999999997</v>
      </c>
      <c r="S21" s="202">
        <v>7.43</v>
      </c>
      <c r="T21" s="202">
        <v>7.3920000000000003</v>
      </c>
      <c r="U21" s="202">
        <v>7.3440000000000003</v>
      </c>
      <c r="V21" s="202">
        <v>7.2919999999999998</v>
      </c>
      <c r="W21" s="202">
        <v>7.2329999999999997</v>
      </c>
      <c r="X21" s="202">
        <v>7.1660000000000004</v>
      </c>
      <c r="Y21" s="202">
        <v>7.0590000000000002</v>
      </c>
      <c r="Z21" s="202">
        <v>6.891</v>
      </c>
      <c r="AA21" s="202">
        <v>6.5709999999999997</v>
      </c>
      <c r="AB21" s="202">
        <v>6.093</v>
      </c>
      <c r="AC21" s="202">
        <v>5.6059999999999999</v>
      </c>
      <c r="AD21" s="202">
        <v>5.2930000000000001</v>
      </c>
      <c r="AE21" s="202">
        <v>5.1539999999999999</v>
      </c>
      <c r="AF21" s="202">
        <v>5.1219999999999999</v>
      </c>
      <c r="AG21" s="202">
        <v>5.1219999999999999</v>
      </c>
      <c r="AH21" s="202">
        <v>4.92</v>
      </c>
      <c r="AI21" s="337">
        <v>4.9950000000000001</v>
      </c>
      <c r="AL21" s="364" t="s">
        <v>536</v>
      </c>
      <c r="AM21" s="202">
        <v>9.8949999999999996</v>
      </c>
      <c r="AN21" s="202">
        <v>9.8529999999999998</v>
      </c>
      <c r="AO21" s="202">
        <v>9.7330000000000005</v>
      </c>
      <c r="AP21" s="202">
        <v>9.6910000000000007</v>
      </c>
      <c r="AQ21" s="202">
        <v>9.7319999999999993</v>
      </c>
      <c r="AR21" s="202">
        <v>9.859</v>
      </c>
      <c r="AS21" s="202">
        <v>9.9009999999999998</v>
      </c>
      <c r="AT21" s="202">
        <v>9.8859999999999992</v>
      </c>
      <c r="AU21" s="202">
        <v>9.8719999999999999</v>
      </c>
      <c r="AV21" s="202">
        <v>9.8770000000000007</v>
      </c>
      <c r="AW21" s="202">
        <v>9.8960000000000008</v>
      </c>
      <c r="AX21" s="202">
        <v>9.8650000000000002</v>
      </c>
      <c r="AY21" s="202">
        <v>10.038</v>
      </c>
      <c r="AZ21" s="202">
        <v>10.567</v>
      </c>
      <c r="BA21" s="202">
        <v>11.162000000000001</v>
      </c>
      <c r="BB21" s="202">
        <v>11.335000000000001</v>
      </c>
      <c r="BC21" s="202">
        <v>10.904</v>
      </c>
      <c r="BD21" s="202">
        <v>11.106</v>
      </c>
      <c r="BE21" s="202">
        <v>11.263999999999999</v>
      </c>
      <c r="BF21" s="202">
        <v>11.398</v>
      </c>
      <c r="BG21" s="202">
        <v>11.523999999999999</v>
      </c>
      <c r="BH21" s="337">
        <v>11.595000000000001</v>
      </c>
    </row>
    <row r="22" spans="12:60" x14ac:dyDescent="0.25">
      <c r="L22" s="379"/>
      <c r="M22" s="364" t="s">
        <v>537</v>
      </c>
      <c r="N22" s="202">
        <v>9.3070000000000004</v>
      </c>
      <c r="O22" s="202">
        <v>9.4290000000000003</v>
      </c>
      <c r="P22" s="202">
        <v>9.2959999999999994</v>
      </c>
      <c r="Q22" s="202">
        <v>9.4039999999999999</v>
      </c>
      <c r="R22" s="202">
        <v>9.1539999999999999</v>
      </c>
      <c r="S22" s="202">
        <v>9.5039999999999996</v>
      </c>
      <c r="T22" s="202">
        <v>9.4290000000000003</v>
      </c>
      <c r="U22" s="202">
        <v>9.3059999999999992</v>
      </c>
      <c r="V22" s="202">
        <v>9.1280000000000001</v>
      </c>
      <c r="W22" s="202">
        <v>9.0470000000000006</v>
      </c>
      <c r="X22" s="202">
        <v>8.9580000000000002</v>
      </c>
      <c r="Y22" s="202">
        <v>8.6959999999999997</v>
      </c>
      <c r="Z22" s="202">
        <v>8.3149999999999995</v>
      </c>
      <c r="AA22" s="202">
        <v>7.3410000000000002</v>
      </c>
      <c r="AB22" s="202">
        <v>6.1189999999999998</v>
      </c>
      <c r="AC22" s="202">
        <v>5.34</v>
      </c>
      <c r="AD22" s="202">
        <v>4.6890000000000001</v>
      </c>
      <c r="AE22" s="202">
        <v>4.2629999999999999</v>
      </c>
      <c r="AF22" s="202">
        <v>3.9</v>
      </c>
      <c r="AG22" s="202">
        <v>3.5430000000000001</v>
      </c>
      <c r="AH22" s="202">
        <v>4.149</v>
      </c>
      <c r="AI22" s="337">
        <v>3.8759999999999999</v>
      </c>
      <c r="AK22" s="379"/>
      <c r="AL22" s="364" t="s">
        <v>537</v>
      </c>
      <c r="AM22" s="202">
        <v>10.295</v>
      </c>
      <c r="AN22" s="202">
        <v>10</v>
      </c>
      <c r="AO22" s="202">
        <v>9.9410000000000007</v>
      </c>
      <c r="AP22" s="202">
        <v>9.9260000000000002</v>
      </c>
      <c r="AQ22" s="202">
        <v>9.9410000000000007</v>
      </c>
      <c r="AR22" s="202">
        <v>10</v>
      </c>
      <c r="AS22" s="202">
        <v>10.295</v>
      </c>
      <c r="AT22" s="202">
        <v>10.282</v>
      </c>
      <c r="AU22" s="202">
        <v>10.44</v>
      </c>
      <c r="AV22" s="202">
        <v>10.606999999999999</v>
      </c>
      <c r="AW22" s="202">
        <v>10.776999999999999</v>
      </c>
      <c r="AX22" s="202">
        <v>11.098000000000001</v>
      </c>
      <c r="AY22" s="202">
        <v>11.057</v>
      </c>
      <c r="AZ22" s="202">
        <v>10.839</v>
      </c>
      <c r="BA22" s="202">
        <v>11.451000000000001</v>
      </c>
      <c r="BB22" s="202">
        <v>11.595000000000001</v>
      </c>
      <c r="BC22" s="202">
        <v>11.134</v>
      </c>
      <c r="BD22" s="202">
        <v>11.282999999999999</v>
      </c>
      <c r="BE22" s="202">
        <v>11.397</v>
      </c>
      <c r="BF22" s="202">
        <v>11.493</v>
      </c>
      <c r="BG22" s="202">
        <v>11.577999999999999</v>
      </c>
      <c r="BH22" s="337">
        <v>11.585000000000001</v>
      </c>
    </row>
    <row r="23" spans="12:60" x14ac:dyDescent="0.25">
      <c r="M23" s="364" t="s">
        <v>538</v>
      </c>
      <c r="N23" s="202">
        <v>30.799499999999998</v>
      </c>
      <c r="O23" s="202">
        <v>20.950900000000001</v>
      </c>
      <c r="P23" s="202">
        <v>11.4832</v>
      </c>
      <c r="Q23" s="202">
        <v>5.3391000000000002</v>
      </c>
      <c r="R23" s="202">
        <v>11.3325</v>
      </c>
      <c r="S23" s="202">
        <v>20.791</v>
      </c>
      <c r="T23" s="202">
        <v>30.638500000000001</v>
      </c>
      <c r="U23" s="202">
        <v>40.552500000000002</v>
      </c>
      <c r="V23" s="202">
        <v>50.464500000000001</v>
      </c>
      <c r="W23" s="202">
        <v>60.375</v>
      </c>
      <c r="X23" s="202">
        <v>70.280900000000003</v>
      </c>
      <c r="Y23" s="202">
        <v>80.176400000000001</v>
      </c>
      <c r="Z23" s="202">
        <v>90</v>
      </c>
      <c r="AA23" s="202">
        <v>99.498800000000003</v>
      </c>
      <c r="AB23" s="202">
        <v>107.93170000000001</v>
      </c>
      <c r="AC23" s="202">
        <v>114.4706</v>
      </c>
      <c r="AD23" s="202">
        <v>119.6534</v>
      </c>
      <c r="AE23" s="202">
        <v>124.44029999999999</v>
      </c>
      <c r="AF23" s="202">
        <v>129.18809999999999</v>
      </c>
      <c r="AG23" s="202">
        <v>133.11779999999999</v>
      </c>
      <c r="AH23" s="202">
        <v>132.4537</v>
      </c>
      <c r="AI23" s="337">
        <v>134.95509999999999</v>
      </c>
      <c r="AL23" s="364" t="s">
        <v>538</v>
      </c>
      <c r="AM23" s="202">
        <v>30</v>
      </c>
      <c r="AN23" s="202">
        <v>20</v>
      </c>
      <c r="AO23" s="202">
        <v>10</v>
      </c>
      <c r="AP23" s="202">
        <v>0</v>
      </c>
      <c r="AQ23" s="202">
        <v>10</v>
      </c>
      <c r="AR23" s="202">
        <v>20</v>
      </c>
      <c r="AS23" s="202">
        <v>30</v>
      </c>
      <c r="AT23" s="202">
        <v>40</v>
      </c>
      <c r="AU23" s="202">
        <v>50</v>
      </c>
      <c r="AV23" s="202">
        <v>60</v>
      </c>
      <c r="AW23" s="202">
        <v>70</v>
      </c>
      <c r="AX23" s="202">
        <v>80</v>
      </c>
      <c r="AY23" s="202">
        <v>90</v>
      </c>
      <c r="AZ23" s="202">
        <v>100</v>
      </c>
      <c r="BA23" s="202">
        <v>110</v>
      </c>
      <c r="BB23" s="202">
        <v>120</v>
      </c>
      <c r="BC23" s="202">
        <v>130</v>
      </c>
      <c r="BD23" s="202">
        <v>140</v>
      </c>
      <c r="BE23" s="202">
        <v>150</v>
      </c>
      <c r="BF23" s="202">
        <v>160</v>
      </c>
      <c r="BG23" s="202">
        <v>170</v>
      </c>
      <c r="BH23" s="337">
        <v>180</v>
      </c>
    </row>
    <row r="24" spans="12:60" ht="15.75" thickBot="1" x14ac:dyDescent="0.3">
      <c r="M24" s="365" t="s">
        <v>539</v>
      </c>
      <c r="N24" s="332">
        <v>8.4388000000000005</v>
      </c>
      <c r="O24" s="332">
        <v>6.7774000000000001</v>
      </c>
      <c r="P24" s="332">
        <v>5.7606999999999999</v>
      </c>
      <c r="Q24" s="332">
        <v>5.3391000000000002</v>
      </c>
      <c r="R24" s="332">
        <v>5.4410999999999996</v>
      </c>
      <c r="S24" s="332">
        <v>6.17</v>
      </c>
      <c r="T24" s="332">
        <v>7.5339999999999998</v>
      </c>
      <c r="U24" s="332">
        <v>9.5121000000000002</v>
      </c>
      <c r="V24" s="332">
        <v>12.3102</v>
      </c>
      <c r="W24" s="332">
        <v>16.911200000000001</v>
      </c>
      <c r="X24" s="332">
        <v>25.875399999999999</v>
      </c>
      <c r="Y24" s="332">
        <v>47.482700000000001</v>
      </c>
      <c r="Z24" s="332">
        <v>90</v>
      </c>
      <c r="AA24" s="332">
        <v>62.060499999999998</v>
      </c>
      <c r="AB24" s="332">
        <v>54.7408</v>
      </c>
      <c r="AC24" s="332">
        <v>53.512900000000002</v>
      </c>
      <c r="AD24" s="332">
        <v>52.225099999999998</v>
      </c>
      <c r="AE24" s="332">
        <v>50.021500000000003</v>
      </c>
      <c r="AF24" s="332">
        <v>47.262700000000002</v>
      </c>
      <c r="AG24" s="332">
        <v>45.115000000000002</v>
      </c>
      <c r="AH24" s="332">
        <v>47.169899999999998</v>
      </c>
      <c r="AI24" s="360">
        <v>45.044899999999998</v>
      </c>
      <c r="AL24" s="365" t="s">
        <v>539</v>
      </c>
      <c r="AM24" s="332">
        <v>0</v>
      </c>
      <c r="AN24" s="332">
        <v>0</v>
      </c>
      <c r="AO24" s="332">
        <v>0</v>
      </c>
      <c r="AP24" s="332">
        <v>0</v>
      </c>
      <c r="AQ24" s="332">
        <v>0</v>
      </c>
      <c r="AR24" s="332">
        <v>0</v>
      </c>
      <c r="AS24" s="332">
        <v>0</v>
      </c>
      <c r="AT24" s="332">
        <v>0</v>
      </c>
      <c r="AU24" s="332">
        <v>0</v>
      </c>
      <c r="AV24" s="332">
        <v>0</v>
      </c>
      <c r="AW24" s="332">
        <v>0</v>
      </c>
      <c r="AX24" s="332">
        <v>0</v>
      </c>
      <c r="AY24" s="332" t="s">
        <v>596</v>
      </c>
      <c r="AZ24" s="332">
        <v>0</v>
      </c>
      <c r="BA24" s="332">
        <v>0</v>
      </c>
      <c r="BB24" s="332">
        <v>0</v>
      </c>
      <c r="BC24" s="332">
        <v>0</v>
      </c>
      <c r="BD24" s="332">
        <v>0</v>
      </c>
      <c r="BE24" s="332">
        <v>0</v>
      </c>
      <c r="BF24" s="332">
        <v>0</v>
      </c>
      <c r="BG24" s="332">
        <v>0</v>
      </c>
      <c r="BH24" s="360">
        <v>0</v>
      </c>
    </row>
    <row r="25" spans="12:60" ht="15.75" thickBot="1" x14ac:dyDescent="0.3"/>
    <row r="26" spans="12:60" x14ac:dyDescent="0.25">
      <c r="L26" s="710" t="s">
        <v>440</v>
      </c>
      <c r="M26" s="367" t="s">
        <v>441</v>
      </c>
      <c r="N26" s="368"/>
      <c r="O26" s="368"/>
      <c r="P26" s="368"/>
      <c r="Q26" s="368" t="s">
        <v>442</v>
      </c>
      <c r="R26" s="369"/>
      <c r="AK26" s="710" t="s">
        <v>440</v>
      </c>
      <c r="AL26" s="367" t="s">
        <v>441</v>
      </c>
      <c r="AM26" s="368"/>
      <c r="AN26" s="368"/>
      <c r="AO26" s="368"/>
      <c r="AP26" s="368" t="s">
        <v>442</v>
      </c>
      <c r="AQ26" s="369"/>
    </row>
    <row r="27" spans="12:60" x14ac:dyDescent="0.25">
      <c r="L27" s="698"/>
      <c r="M27" s="366" t="s">
        <v>443</v>
      </c>
      <c r="N27" s="198"/>
      <c r="O27" s="198"/>
      <c r="P27" s="198"/>
      <c r="Q27" s="198"/>
      <c r="R27" s="200"/>
      <c r="AK27" s="698"/>
      <c r="AL27" s="366" t="s">
        <v>443</v>
      </c>
      <c r="AM27" s="198"/>
      <c r="AN27" s="198"/>
      <c r="AO27" s="198"/>
      <c r="AP27" s="198"/>
      <c r="AQ27" s="200"/>
    </row>
    <row r="28" spans="12:60" x14ac:dyDescent="0.25">
      <c r="L28" s="698"/>
      <c r="M28" s="366" t="s">
        <v>444</v>
      </c>
      <c r="N28" s="198">
        <v>0</v>
      </c>
      <c r="O28" s="198" t="s">
        <v>445</v>
      </c>
      <c r="P28" s="198">
        <v>0</v>
      </c>
      <c r="Q28" s="198"/>
      <c r="R28" s="200"/>
      <c r="AK28" s="698"/>
      <c r="AL28" s="366" t="s">
        <v>444</v>
      </c>
      <c r="AM28" s="198">
        <v>0</v>
      </c>
      <c r="AN28" s="198" t="s">
        <v>445</v>
      </c>
      <c r="AO28" s="198">
        <v>0</v>
      </c>
      <c r="AP28" s="198"/>
      <c r="AQ28" s="200"/>
    </row>
    <row r="29" spans="12:60" x14ac:dyDescent="0.25">
      <c r="L29" s="698"/>
      <c r="M29" s="366" t="s">
        <v>446</v>
      </c>
      <c r="N29" s="198"/>
      <c r="O29" s="198"/>
      <c r="P29" s="198"/>
      <c r="Q29" s="198"/>
      <c r="R29" s="200"/>
      <c r="AK29" s="698"/>
      <c r="AL29" s="366" t="s">
        <v>446</v>
      </c>
      <c r="AM29" s="198"/>
      <c r="AN29" s="198"/>
      <c r="AO29" s="198"/>
      <c r="AP29" s="198"/>
      <c r="AQ29" s="200"/>
    </row>
    <row r="30" spans="12:60" x14ac:dyDescent="0.25">
      <c r="L30" s="698"/>
      <c r="M30" s="366" t="s">
        <v>444</v>
      </c>
      <c r="N30" s="198">
        <v>30</v>
      </c>
      <c r="O30" s="198" t="s">
        <v>445</v>
      </c>
      <c r="P30" s="198">
        <v>30</v>
      </c>
      <c r="Q30" s="198"/>
      <c r="R30" s="200"/>
      <c r="AK30" s="698"/>
      <c r="AL30" s="366" t="s">
        <v>444</v>
      </c>
      <c r="AM30" s="198">
        <v>30</v>
      </c>
      <c r="AN30" s="198" t="s">
        <v>445</v>
      </c>
      <c r="AO30" s="198">
        <v>30</v>
      </c>
      <c r="AP30" s="198"/>
      <c r="AQ30" s="200"/>
    </row>
    <row r="31" spans="12:60" x14ac:dyDescent="0.25">
      <c r="L31" s="698"/>
      <c r="M31" s="366" t="s">
        <v>447</v>
      </c>
      <c r="N31" s="198">
        <v>141.30000000000001</v>
      </c>
      <c r="O31" s="198" t="s">
        <v>445</v>
      </c>
      <c r="P31" s="198"/>
      <c r="Q31" s="198"/>
      <c r="R31" s="200"/>
      <c r="AK31" s="698"/>
      <c r="AL31" s="366" t="s">
        <v>447</v>
      </c>
      <c r="AM31" s="198">
        <v>154.69999999999999</v>
      </c>
      <c r="AN31" s="198" t="s">
        <v>445</v>
      </c>
      <c r="AO31" s="198"/>
      <c r="AP31" s="198"/>
      <c r="AQ31" s="200"/>
    </row>
    <row r="32" spans="12:60" x14ac:dyDescent="0.25">
      <c r="L32" s="698"/>
      <c r="M32" s="366" t="s">
        <v>448</v>
      </c>
      <c r="N32" s="373">
        <v>3.1513</v>
      </c>
      <c r="O32" s="373" t="s">
        <v>449</v>
      </c>
      <c r="P32" s="373">
        <v>24.967700000000001</v>
      </c>
      <c r="Q32" s="373" t="s">
        <v>442</v>
      </c>
      <c r="R32" s="200">
        <v>692.3</v>
      </c>
      <c r="AK32" s="698"/>
      <c r="AL32" s="366" t="s">
        <v>448</v>
      </c>
      <c r="AM32" s="373">
        <v>3.1513</v>
      </c>
      <c r="AN32" s="373" t="s">
        <v>449</v>
      </c>
      <c r="AO32" s="373">
        <v>84.669499999999999</v>
      </c>
      <c r="AP32" s="373" t="s">
        <v>442</v>
      </c>
      <c r="AQ32" s="200">
        <v>2586.81</v>
      </c>
    </row>
    <row r="33" spans="12:43" x14ac:dyDescent="0.25">
      <c r="L33" s="381"/>
      <c r="M33" s="376"/>
      <c r="N33" s="377"/>
      <c r="O33" s="377"/>
      <c r="P33" s="377"/>
      <c r="Q33" s="377"/>
      <c r="R33" s="382"/>
      <c r="AK33" s="381"/>
      <c r="AL33" s="376"/>
      <c r="AM33" s="377"/>
      <c r="AN33" s="377"/>
      <c r="AO33" s="377"/>
      <c r="AP33" s="377"/>
      <c r="AQ33" s="382"/>
    </row>
    <row r="34" spans="12:43" x14ac:dyDescent="0.25">
      <c r="L34" s="697" t="s">
        <v>440</v>
      </c>
      <c r="M34" s="374" t="s">
        <v>450</v>
      </c>
      <c r="N34" s="375"/>
      <c r="O34" s="375"/>
      <c r="P34" s="375"/>
      <c r="Q34" s="375" t="s">
        <v>442</v>
      </c>
      <c r="R34" s="383"/>
      <c r="AK34" s="697" t="s">
        <v>440</v>
      </c>
      <c r="AL34" s="374" t="s">
        <v>450</v>
      </c>
      <c r="AM34" s="375"/>
      <c r="AN34" s="375"/>
      <c r="AO34" s="375"/>
      <c r="AP34" s="375" t="s">
        <v>442</v>
      </c>
      <c r="AQ34" s="383"/>
    </row>
    <row r="35" spans="12:43" x14ac:dyDescent="0.25">
      <c r="L35" s="698"/>
      <c r="M35" s="366" t="s">
        <v>443</v>
      </c>
      <c r="N35" s="198"/>
      <c r="O35" s="198"/>
      <c r="P35" s="198"/>
      <c r="Q35" s="198"/>
      <c r="R35" s="200"/>
      <c r="AK35" s="698"/>
      <c r="AL35" s="366" t="s">
        <v>443</v>
      </c>
      <c r="AM35" s="198"/>
      <c r="AN35" s="198"/>
      <c r="AO35" s="198"/>
      <c r="AP35" s="198"/>
      <c r="AQ35" s="200"/>
    </row>
    <row r="36" spans="12:43" x14ac:dyDescent="0.25">
      <c r="L36" s="698"/>
      <c r="M36" s="366" t="s">
        <v>444</v>
      </c>
      <c r="N36" s="198">
        <v>0</v>
      </c>
      <c r="O36" s="198" t="s">
        <v>445</v>
      </c>
      <c r="P36" s="198">
        <v>0</v>
      </c>
      <c r="Q36" s="198"/>
      <c r="R36" s="200"/>
      <c r="AK36" s="698"/>
      <c r="AL36" s="366" t="s">
        <v>444</v>
      </c>
      <c r="AM36" s="198">
        <v>0</v>
      </c>
      <c r="AN36" s="198" t="s">
        <v>445</v>
      </c>
      <c r="AO36" s="198">
        <v>0</v>
      </c>
      <c r="AP36" s="198"/>
      <c r="AQ36" s="200"/>
    </row>
    <row r="37" spans="12:43" x14ac:dyDescent="0.25">
      <c r="L37" s="698"/>
      <c r="M37" s="366" t="s">
        <v>446</v>
      </c>
      <c r="N37" s="198"/>
      <c r="O37" s="198"/>
      <c r="P37" s="198"/>
      <c r="Q37" s="198"/>
      <c r="R37" s="200"/>
      <c r="AK37" s="698"/>
      <c r="AL37" s="366" t="s">
        <v>446</v>
      </c>
      <c r="AM37" s="198"/>
      <c r="AN37" s="198"/>
      <c r="AO37" s="198"/>
      <c r="AP37" s="198"/>
      <c r="AQ37" s="200"/>
    </row>
    <row r="38" spans="12:43" x14ac:dyDescent="0.25">
      <c r="L38" s="698"/>
      <c r="M38" s="366" t="s">
        <v>444</v>
      </c>
      <c r="N38" s="198">
        <v>40</v>
      </c>
      <c r="O38" s="198" t="s">
        <v>445</v>
      </c>
      <c r="P38" s="198">
        <v>40</v>
      </c>
      <c r="Q38" s="198"/>
      <c r="R38" s="200"/>
      <c r="AK38" s="698"/>
      <c r="AL38" s="366" t="s">
        <v>444</v>
      </c>
      <c r="AM38" s="198">
        <v>40</v>
      </c>
      <c r="AN38" s="198" t="s">
        <v>445</v>
      </c>
      <c r="AO38" s="198">
        <v>40</v>
      </c>
      <c r="AP38" s="198"/>
      <c r="AQ38" s="200"/>
    </row>
    <row r="39" spans="12:43" x14ac:dyDescent="0.25">
      <c r="L39" s="698"/>
      <c r="M39" s="366" t="s">
        <v>451</v>
      </c>
      <c r="N39" s="198" t="s">
        <v>452</v>
      </c>
      <c r="O39" s="198" t="s">
        <v>445</v>
      </c>
      <c r="P39" s="198"/>
      <c r="Q39" s="198"/>
      <c r="R39" s="200"/>
      <c r="AK39" s="698"/>
      <c r="AL39" s="366" t="s">
        <v>451</v>
      </c>
      <c r="AM39" s="198" t="s">
        <v>452</v>
      </c>
      <c r="AN39" s="198" t="s">
        <v>445</v>
      </c>
      <c r="AO39" s="198"/>
      <c r="AP39" s="198"/>
      <c r="AQ39" s="200"/>
    </row>
    <row r="40" spans="12:43" x14ac:dyDescent="0.25">
      <c r="L40" s="698"/>
      <c r="M40" s="366" t="s">
        <v>447</v>
      </c>
      <c r="N40" s="198">
        <v>141.30000000000001</v>
      </c>
      <c r="O40" s="198" t="s">
        <v>445</v>
      </c>
      <c r="P40" s="198"/>
      <c r="Q40" s="198"/>
      <c r="R40" s="200"/>
      <c r="AK40" s="698"/>
      <c r="AL40" s="366" t="s">
        <v>447</v>
      </c>
      <c r="AM40" s="198">
        <v>154.69999999999999</v>
      </c>
      <c r="AN40" s="198" t="s">
        <v>445</v>
      </c>
      <c r="AO40" s="198"/>
      <c r="AP40" s="198"/>
      <c r="AQ40" s="200"/>
    </row>
    <row r="41" spans="12:43" x14ac:dyDescent="0.25">
      <c r="L41" s="698"/>
      <c r="M41" s="366" t="s">
        <v>448</v>
      </c>
      <c r="N41" s="373">
        <v>5.1566000000000001</v>
      </c>
      <c r="O41" s="373" t="s">
        <v>449</v>
      </c>
      <c r="P41" s="373">
        <v>38.393500000000003</v>
      </c>
      <c r="Q41" s="373" t="s">
        <v>442</v>
      </c>
      <c r="R41" s="200">
        <v>644.54999999999995</v>
      </c>
      <c r="AK41" s="698"/>
      <c r="AL41" s="366" t="s">
        <v>448</v>
      </c>
      <c r="AM41" s="373">
        <v>5.1566000000000001</v>
      </c>
      <c r="AN41" s="373" t="s">
        <v>449</v>
      </c>
      <c r="AO41" s="373">
        <v>131.10400000000001</v>
      </c>
      <c r="AP41" s="373" t="s">
        <v>442</v>
      </c>
      <c r="AQ41" s="200">
        <v>2442.4499999999998</v>
      </c>
    </row>
    <row r="42" spans="12:43" x14ac:dyDescent="0.25">
      <c r="L42" s="381"/>
      <c r="M42" s="376"/>
      <c r="N42" s="377"/>
      <c r="O42" s="377"/>
      <c r="P42" s="377"/>
      <c r="Q42" s="377"/>
      <c r="R42" s="382"/>
      <c r="AK42" s="381"/>
      <c r="AL42" s="376"/>
      <c r="AM42" s="377"/>
      <c r="AN42" s="377"/>
      <c r="AO42" s="377"/>
      <c r="AP42" s="377"/>
      <c r="AQ42" s="382"/>
    </row>
    <row r="43" spans="12:43" x14ac:dyDescent="0.25">
      <c r="L43" s="697" t="s">
        <v>440</v>
      </c>
      <c r="M43" s="374" t="s">
        <v>453</v>
      </c>
      <c r="N43" s="375"/>
      <c r="O43" s="375"/>
      <c r="P43" s="375"/>
      <c r="Q43" s="375" t="s">
        <v>442</v>
      </c>
      <c r="R43" s="383"/>
      <c r="AK43" s="697" t="s">
        <v>440</v>
      </c>
      <c r="AL43" s="374" t="s">
        <v>453</v>
      </c>
      <c r="AM43" s="375"/>
      <c r="AN43" s="375"/>
      <c r="AO43" s="375"/>
      <c r="AP43" s="375" t="s">
        <v>442</v>
      </c>
      <c r="AQ43" s="383"/>
    </row>
    <row r="44" spans="12:43" x14ac:dyDescent="0.25">
      <c r="L44" s="698"/>
      <c r="M44" s="366" t="s">
        <v>443</v>
      </c>
      <c r="N44" s="198"/>
      <c r="O44" s="198"/>
      <c r="P44" s="198"/>
      <c r="Q44" s="198"/>
      <c r="R44" s="200"/>
      <c r="AK44" s="698"/>
      <c r="AL44" s="366" t="s">
        <v>443</v>
      </c>
      <c r="AM44" s="198"/>
      <c r="AN44" s="198"/>
      <c r="AO44" s="198"/>
      <c r="AP44" s="198"/>
      <c r="AQ44" s="200"/>
    </row>
    <row r="45" spans="12:43" x14ac:dyDescent="0.25">
      <c r="L45" s="698"/>
      <c r="M45" s="366" t="s">
        <v>444</v>
      </c>
      <c r="N45" s="198">
        <v>30</v>
      </c>
      <c r="O45" s="198" t="s">
        <v>445</v>
      </c>
      <c r="P45" s="198">
        <v>30</v>
      </c>
      <c r="Q45" s="198"/>
      <c r="R45" s="200"/>
      <c r="AK45" s="698"/>
      <c r="AL45" s="366" t="s">
        <v>444</v>
      </c>
      <c r="AM45" s="198">
        <v>30</v>
      </c>
      <c r="AN45" s="198" t="s">
        <v>445</v>
      </c>
      <c r="AO45" s="198">
        <v>30</v>
      </c>
      <c r="AP45" s="198"/>
      <c r="AQ45" s="200"/>
    </row>
    <row r="46" spans="12:43" x14ac:dyDescent="0.25">
      <c r="L46" s="698"/>
      <c r="M46" s="366" t="s">
        <v>446</v>
      </c>
      <c r="N46" s="198"/>
      <c r="O46" s="198"/>
      <c r="P46" s="198"/>
      <c r="Q46" s="198"/>
      <c r="R46" s="200"/>
      <c r="AK46" s="698"/>
      <c r="AL46" s="366" t="s">
        <v>446</v>
      </c>
      <c r="AM46" s="198"/>
      <c r="AN46" s="198"/>
      <c r="AO46" s="198"/>
      <c r="AP46" s="198"/>
      <c r="AQ46" s="200"/>
    </row>
    <row r="47" spans="12:43" x14ac:dyDescent="0.25">
      <c r="L47" s="698"/>
      <c r="M47" s="366" t="s">
        <v>444</v>
      </c>
      <c r="N47" s="198">
        <v>40</v>
      </c>
      <c r="O47" s="198" t="s">
        <v>445</v>
      </c>
      <c r="P47" s="198">
        <v>40</v>
      </c>
      <c r="Q47" s="198"/>
      <c r="R47" s="200"/>
      <c r="AK47" s="698"/>
      <c r="AL47" s="366" t="s">
        <v>444</v>
      </c>
      <c r="AM47" s="198">
        <v>40</v>
      </c>
      <c r="AN47" s="198" t="s">
        <v>445</v>
      </c>
      <c r="AO47" s="198">
        <v>40</v>
      </c>
      <c r="AP47" s="198"/>
      <c r="AQ47" s="200"/>
    </row>
    <row r="48" spans="12:43" x14ac:dyDescent="0.25">
      <c r="L48" s="698"/>
      <c r="M48" s="366" t="s">
        <v>451</v>
      </c>
      <c r="N48" s="198" t="s">
        <v>452</v>
      </c>
      <c r="O48" s="198" t="s">
        <v>445</v>
      </c>
      <c r="P48" s="198"/>
      <c r="Q48" s="198"/>
      <c r="R48" s="200"/>
      <c r="AK48" s="698"/>
      <c r="AL48" s="366" t="s">
        <v>451</v>
      </c>
      <c r="AM48" s="198" t="s">
        <v>452</v>
      </c>
      <c r="AN48" s="198" t="s">
        <v>445</v>
      </c>
      <c r="AO48" s="198"/>
      <c r="AP48" s="198"/>
      <c r="AQ48" s="200"/>
    </row>
    <row r="49" spans="12:43" x14ac:dyDescent="0.25">
      <c r="L49" s="698"/>
      <c r="M49" s="366" t="s">
        <v>447</v>
      </c>
      <c r="N49" s="198">
        <v>141.30000000000001</v>
      </c>
      <c r="O49" s="198" t="s">
        <v>445</v>
      </c>
      <c r="P49" s="198"/>
      <c r="Q49" s="198"/>
      <c r="R49" s="200"/>
      <c r="AK49" s="698"/>
      <c r="AL49" s="366" t="s">
        <v>447</v>
      </c>
      <c r="AM49" s="198">
        <v>154.69999999999999</v>
      </c>
      <c r="AN49" s="198" t="s">
        <v>445</v>
      </c>
      <c r="AO49" s="198"/>
      <c r="AP49" s="198"/>
      <c r="AQ49" s="200"/>
    </row>
    <row r="50" spans="12:43" x14ac:dyDescent="0.25">
      <c r="L50" s="698"/>
      <c r="M50" s="366" t="s">
        <v>448</v>
      </c>
      <c r="N50" s="373">
        <v>1.7189000000000001</v>
      </c>
      <c r="O50" s="373" t="s">
        <v>449</v>
      </c>
      <c r="P50" s="373">
        <v>13.425800000000001</v>
      </c>
      <c r="Q50" s="373" t="s">
        <v>442</v>
      </c>
      <c r="R50" s="200">
        <v>681.07</v>
      </c>
      <c r="AK50" s="698"/>
      <c r="AL50" s="366" t="s">
        <v>448</v>
      </c>
      <c r="AM50" s="373">
        <v>1.7189000000000001</v>
      </c>
      <c r="AN50" s="373" t="s">
        <v>449</v>
      </c>
      <c r="AO50" s="373">
        <v>46.4345</v>
      </c>
      <c r="AP50" s="373" t="s">
        <v>442</v>
      </c>
      <c r="AQ50" s="200">
        <v>2601.41</v>
      </c>
    </row>
    <row r="51" spans="12:43" x14ac:dyDescent="0.25">
      <c r="L51" s="381"/>
      <c r="M51" s="376"/>
      <c r="N51" s="377"/>
      <c r="O51" s="377"/>
      <c r="P51" s="377"/>
      <c r="Q51" s="377"/>
      <c r="R51" s="382"/>
      <c r="AK51" s="381"/>
      <c r="AL51" s="376"/>
      <c r="AM51" s="377"/>
      <c r="AN51" s="377"/>
      <c r="AO51" s="377"/>
      <c r="AP51" s="377"/>
      <c r="AQ51" s="382"/>
    </row>
    <row r="52" spans="12:43" x14ac:dyDescent="0.25">
      <c r="L52" s="697" t="s">
        <v>440</v>
      </c>
      <c r="M52" s="374" t="s">
        <v>454</v>
      </c>
      <c r="N52" s="375"/>
      <c r="O52" s="375"/>
      <c r="P52" s="375"/>
      <c r="Q52" s="375" t="s">
        <v>442</v>
      </c>
      <c r="R52" s="383"/>
      <c r="AK52" s="697" t="s">
        <v>440</v>
      </c>
      <c r="AL52" s="374" t="s">
        <v>454</v>
      </c>
      <c r="AM52" s="375"/>
      <c r="AN52" s="375"/>
      <c r="AO52" s="375"/>
      <c r="AP52" s="375" t="s">
        <v>442</v>
      </c>
      <c r="AQ52" s="383"/>
    </row>
    <row r="53" spans="12:43" x14ac:dyDescent="0.25">
      <c r="L53" s="698"/>
      <c r="M53" s="366" t="s">
        <v>455</v>
      </c>
      <c r="N53" s="198"/>
      <c r="O53" s="198"/>
      <c r="P53" s="198"/>
      <c r="Q53" s="198"/>
      <c r="R53" s="200"/>
      <c r="AK53" s="698"/>
      <c r="AL53" s="366" t="s">
        <v>455</v>
      </c>
      <c r="AM53" s="198"/>
      <c r="AN53" s="198"/>
      <c r="AO53" s="198"/>
      <c r="AP53" s="198"/>
      <c r="AQ53" s="200"/>
    </row>
    <row r="54" spans="12:43" x14ac:dyDescent="0.25">
      <c r="L54" s="698"/>
      <c r="M54" s="366" t="s">
        <v>444</v>
      </c>
      <c r="N54" s="198">
        <v>30</v>
      </c>
      <c r="O54" s="198" t="s">
        <v>445</v>
      </c>
      <c r="P54" s="198">
        <v>30</v>
      </c>
      <c r="Q54" s="198"/>
      <c r="R54" s="200"/>
      <c r="AK54" s="698"/>
      <c r="AL54" s="366" t="s">
        <v>444</v>
      </c>
      <c r="AM54" s="198">
        <v>30</v>
      </c>
      <c r="AN54" s="198" t="s">
        <v>445</v>
      </c>
      <c r="AO54" s="198">
        <v>30</v>
      </c>
      <c r="AP54" s="198"/>
      <c r="AQ54" s="200"/>
    </row>
    <row r="55" spans="12:43" x14ac:dyDescent="0.25">
      <c r="L55" s="698"/>
      <c r="M55" s="366" t="s">
        <v>446</v>
      </c>
      <c r="N55" s="198"/>
      <c r="O55" s="198"/>
      <c r="P55" s="198"/>
      <c r="Q55" s="198"/>
      <c r="R55" s="200"/>
      <c r="AK55" s="698"/>
      <c r="AL55" s="366" t="s">
        <v>446</v>
      </c>
      <c r="AM55" s="198"/>
      <c r="AN55" s="198"/>
      <c r="AO55" s="198"/>
      <c r="AP55" s="198"/>
      <c r="AQ55" s="200"/>
    </row>
    <row r="56" spans="12:43" x14ac:dyDescent="0.25">
      <c r="L56" s="698"/>
      <c r="M56" s="366" t="s">
        <v>444</v>
      </c>
      <c r="N56" s="198">
        <v>90</v>
      </c>
      <c r="O56" s="198" t="s">
        <v>445</v>
      </c>
      <c r="P56" s="198"/>
      <c r="Q56" s="198"/>
      <c r="R56" s="200"/>
      <c r="AK56" s="698"/>
      <c r="AL56" s="366" t="s">
        <v>444</v>
      </c>
      <c r="AM56" s="198">
        <v>90</v>
      </c>
      <c r="AN56" s="198" t="s">
        <v>445</v>
      </c>
      <c r="AO56" s="198">
        <v>90</v>
      </c>
      <c r="AP56" s="198"/>
      <c r="AQ56" s="200"/>
    </row>
    <row r="57" spans="12:43" x14ac:dyDescent="0.25">
      <c r="L57" s="698"/>
      <c r="M57" s="366" t="s">
        <v>456</v>
      </c>
      <c r="N57" s="198">
        <v>87.3</v>
      </c>
      <c r="O57" s="198" t="s">
        <v>445</v>
      </c>
      <c r="P57" s="198">
        <v>87.3</v>
      </c>
      <c r="Q57" s="198"/>
      <c r="R57" s="200"/>
      <c r="AK57" s="698"/>
      <c r="AL57" s="366" t="s">
        <v>456</v>
      </c>
      <c r="AM57" s="198">
        <v>99.1</v>
      </c>
      <c r="AN57" s="198" t="s">
        <v>445</v>
      </c>
      <c r="AO57" s="198"/>
      <c r="AP57" s="198"/>
      <c r="AQ57" s="200"/>
    </row>
    <row r="58" spans="12:43" x14ac:dyDescent="0.25">
      <c r="L58" s="698"/>
      <c r="M58" s="366" t="s">
        <v>448</v>
      </c>
      <c r="N58" s="373">
        <v>0.2</v>
      </c>
      <c r="O58" s="373" t="s">
        <v>71</v>
      </c>
      <c r="P58" s="373">
        <v>1.5880000000000001</v>
      </c>
      <c r="Q58" s="373" t="s">
        <v>442</v>
      </c>
      <c r="R58" s="200">
        <v>694</v>
      </c>
      <c r="AK58" s="698"/>
      <c r="AL58" s="366" t="s">
        <v>448</v>
      </c>
      <c r="AM58" s="373">
        <v>0.2</v>
      </c>
      <c r="AN58" s="373" t="s">
        <v>71</v>
      </c>
      <c r="AO58" s="373">
        <v>4.9420000000000002</v>
      </c>
      <c r="AP58" s="373" t="s">
        <v>442</v>
      </c>
      <c r="AQ58" s="200">
        <v>2371</v>
      </c>
    </row>
    <row r="59" spans="12:43" x14ac:dyDescent="0.25">
      <c r="L59" s="698"/>
      <c r="M59" s="366" t="s">
        <v>457</v>
      </c>
      <c r="N59" s="198"/>
      <c r="O59" s="198"/>
      <c r="P59" s="198"/>
      <c r="Q59" s="198"/>
      <c r="R59" s="200"/>
      <c r="AK59" s="698"/>
      <c r="AL59" s="366" t="s">
        <v>457</v>
      </c>
      <c r="AM59" s="198"/>
      <c r="AN59" s="198"/>
      <c r="AO59" s="198"/>
      <c r="AP59" s="198"/>
      <c r="AQ59" s="200"/>
    </row>
    <row r="60" spans="12:43" x14ac:dyDescent="0.25">
      <c r="L60" s="698"/>
      <c r="M60" s="366" t="s">
        <v>458</v>
      </c>
      <c r="N60" s="198"/>
      <c r="O60" s="198" t="s">
        <v>445</v>
      </c>
      <c r="P60" s="198">
        <v>87.3</v>
      </c>
      <c r="Q60" s="198"/>
      <c r="R60" s="200"/>
      <c r="AK60" s="698"/>
      <c r="AL60" s="366" t="s">
        <v>458</v>
      </c>
      <c r="AM60" s="198"/>
      <c r="AN60" s="198" t="s">
        <v>445</v>
      </c>
      <c r="AO60" s="198">
        <v>90</v>
      </c>
      <c r="AP60" s="198"/>
      <c r="AQ60" s="200"/>
    </row>
    <row r="61" spans="12:43" x14ac:dyDescent="0.25">
      <c r="L61" s="381"/>
      <c r="M61" s="376"/>
      <c r="N61" s="377"/>
      <c r="O61" s="377"/>
      <c r="P61" s="377"/>
      <c r="Q61" s="377"/>
      <c r="R61" s="382"/>
      <c r="AK61" s="381"/>
      <c r="AL61" s="376"/>
      <c r="AM61" s="377"/>
      <c r="AN61" s="377"/>
      <c r="AO61" s="377"/>
      <c r="AP61" s="377"/>
      <c r="AQ61" s="382"/>
    </row>
    <row r="62" spans="12:43" x14ac:dyDescent="0.25">
      <c r="L62" s="697" t="s">
        <v>440</v>
      </c>
      <c r="M62" s="374" t="s">
        <v>459</v>
      </c>
      <c r="N62" s="375"/>
      <c r="O62" s="375"/>
      <c r="P62" s="375"/>
      <c r="Q62" s="375" t="s">
        <v>442</v>
      </c>
      <c r="R62" s="383"/>
      <c r="AK62" s="697" t="s">
        <v>440</v>
      </c>
      <c r="AL62" s="374" t="s">
        <v>459</v>
      </c>
      <c r="AM62" s="375"/>
      <c r="AN62" s="375"/>
      <c r="AO62" s="375"/>
      <c r="AP62" s="375" t="s">
        <v>442</v>
      </c>
      <c r="AQ62" s="383"/>
    </row>
    <row r="63" spans="12:43" x14ac:dyDescent="0.25">
      <c r="L63" s="698"/>
      <c r="M63" s="366" t="s">
        <v>448</v>
      </c>
      <c r="N63" s="373">
        <v>25</v>
      </c>
      <c r="O63" s="373" t="s">
        <v>445</v>
      </c>
      <c r="P63" s="373">
        <v>87.3</v>
      </c>
      <c r="Q63" s="373" t="s">
        <v>442</v>
      </c>
      <c r="R63" s="200">
        <v>249.09</v>
      </c>
      <c r="AK63" s="698"/>
      <c r="AL63" s="366" t="s">
        <v>448</v>
      </c>
      <c r="AM63" s="373">
        <v>25</v>
      </c>
      <c r="AN63" s="373" t="s">
        <v>445</v>
      </c>
      <c r="AO63" s="373">
        <v>99.1</v>
      </c>
      <c r="AP63" s="373" t="s">
        <v>442</v>
      </c>
      <c r="AQ63" s="200">
        <v>296.36</v>
      </c>
    </row>
    <row r="64" spans="12:43" x14ac:dyDescent="0.25">
      <c r="L64" s="381"/>
      <c r="M64" s="376"/>
      <c r="N64" s="377"/>
      <c r="O64" s="377"/>
      <c r="P64" s="377"/>
      <c r="Q64" s="377"/>
      <c r="R64" s="382"/>
      <c r="AK64" s="381"/>
      <c r="AL64" s="376"/>
      <c r="AM64" s="377"/>
      <c r="AN64" s="377"/>
      <c r="AO64" s="377"/>
      <c r="AP64" s="377"/>
      <c r="AQ64" s="382"/>
    </row>
    <row r="65" spans="12:43" x14ac:dyDescent="0.25">
      <c r="L65" s="697" t="s">
        <v>440</v>
      </c>
      <c r="M65" s="374" t="s">
        <v>460</v>
      </c>
      <c r="N65" s="375"/>
      <c r="O65" s="375"/>
      <c r="P65" s="375"/>
      <c r="Q65" s="375" t="s">
        <v>442</v>
      </c>
      <c r="R65" s="383"/>
      <c r="AK65" s="697" t="s">
        <v>440</v>
      </c>
      <c r="AL65" s="374" t="s">
        <v>460</v>
      </c>
      <c r="AM65" s="375"/>
      <c r="AN65" s="375"/>
      <c r="AO65" s="375"/>
      <c r="AP65" s="375" t="s">
        <v>442</v>
      </c>
      <c r="AQ65" s="383"/>
    </row>
    <row r="66" spans="12:43" x14ac:dyDescent="0.25">
      <c r="L66" s="698"/>
      <c r="M66" s="366" t="s">
        <v>444</v>
      </c>
      <c r="N66" s="198">
        <v>0</v>
      </c>
      <c r="O66" s="198" t="s">
        <v>445</v>
      </c>
      <c r="P66" s="198"/>
      <c r="Q66" s="198"/>
      <c r="R66" s="200"/>
      <c r="AK66" s="698"/>
      <c r="AL66" s="366" t="s">
        <v>444</v>
      </c>
      <c r="AM66" s="198">
        <v>0</v>
      </c>
      <c r="AN66" s="198" t="s">
        <v>445</v>
      </c>
      <c r="AO66" s="198"/>
      <c r="AP66" s="198"/>
      <c r="AQ66" s="200"/>
    </row>
    <row r="67" spans="12:43" x14ac:dyDescent="0.25">
      <c r="L67" s="698"/>
      <c r="M67" s="366" t="s">
        <v>448</v>
      </c>
      <c r="N67" s="373">
        <v>0.15</v>
      </c>
      <c r="O67" s="373" t="s">
        <v>71</v>
      </c>
      <c r="P67" s="373">
        <v>4.0279999999999996</v>
      </c>
      <c r="Q67" s="373" t="s">
        <v>442</v>
      </c>
      <c r="R67" s="200">
        <v>2585.33</v>
      </c>
      <c r="AK67" s="698"/>
      <c r="AL67" s="366" t="s">
        <v>448</v>
      </c>
      <c r="AM67" s="373">
        <v>0.15</v>
      </c>
      <c r="AN67" s="373" t="s">
        <v>71</v>
      </c>
      <c r="AO67" s="373">
        <v>11.683999999999999</v>
      </c>
      <c r="AP67" s="373" t="s">
        <v>442</v>
      </c>
      <c r="AQ67" s="200">
        <v>7689.33</v>
      </c>
    </row>
    <row r="68" spans="12:43" x14ac:dyDescent="0.25">
      <c r="L68" s="381"/>
      <c r="M68" s="376"/>
      <c r="N68" s="377"/>
      <c r="O68" s="377"/>
      <c r="P68" s="377"/>
      <c r="Q68" s="377"/>
      <c r="R68" s="382"/>
      <c r="AK68" s="381"/>
      <c r="AL68" s="376"/>
      <c r="AM68" s="377"/>
      <c r="AN68" s="377"/>
      <c r="AO68" s="377"/>
      <c r="AP68" s="377"/>
      <c r="AQ68" s="382"/>
    </row>
    <row r="69" spans="12:43" ht="30" x14ac:dyDescent="0.25">
      <c r="L69" s="697" t="s">
        <v>440</v>
      </c>
      <c r="M69" s="374" t="s">
        <v>461</v>
      </c>
      <c r="N69" s="375"/>
      <c r="O69" s="375"/>
      <c r="P69" s="375"/>
      <c r="Q69" s="375" t="s">
        <v>442</v>
      </c>
      <c r="R69" s="383"/>
      <c r="AK69" s="697" t="s">
        <v>440</v>
      </c>
      <c r="AL69" s="374" t="s">
        <v>461</v>
      </c>
      <c r="AM69" s="375"/>
      <c r="AN69" s="375"/>
      <c r="AO69" s="375"/>
      <c r="AP69" s="375" t="s">
        <v>442</v>
      </c>
      <c r="AQ69" s="383"/>
    </row>
    <row r="70" spans="12:43" ht="30" x14ac:dyDescent="0.25">
      <c r="L70" s="698"/>
      <c r="M70" s="366" t="s">
        <v>462</v>
      </c>
      <c r="N70" s="198"/>
      <c r="O70" s="198"/>
      <c r="P70" s="198"/>
      <c r="Q70" s="198"/>
      <c r="R70" s="200"/>
      <c r="AK70" s="698"/>
      <c r="AL70" s="366" t="s">
        <v>462</v>
      </c>
      <c r="AM70" s="198"/>
      <c r="AN70" s="198"/>
      <c r="AO70" s="198"/>
      <c r="AP70" s="198"/>
      <c r="AQ70" s="200"/>
    </row>
    <row r="71" spans="12:43" x14ac:dyDescent="0.25">
      <c r="L71" s="698"/>
      <c r="M71" s="366" t="s">
        <v>463</v>
      </c>
      <c r="N71" s="198">
        <v>0</v>
      </c>
      <c r="O71" s="198"/>
      <c r="P71" s="198"/>
      <c r="Q71" s="198"/>
      <c r="R71" s="200"/>
      <c r="AK71" s="698"/>
      <c r="AL71" s="366" t="s">
        <v>463</v>
      </c>
      <c r="AM71" s="198">
        <v>0</v>
      </c>
      <c r="AN71" s="198"/>
      <c r="AO71" s="198"/>
      <c r="AP71" s="198"/>
      <c r="AQ71" s="200"/>
    </row>
    <row r="72" spans="12:43" x14ac:dyDescent="0.25">
      <c r="L72" s="698"/>
      <c r="M72" s="366" t="s">
        <v>464</v>
      </c>
      <c r="N72" s="198">
        <v>75</v>
      </c>
      <c r="O72" s="198" t="s">
        <v>267</v>
      </c>
      <c r="P72" s="198"/>
      <c r="Q72" s="198"/>
      <c r="R72" s="200"/>
      <c r="AK72" s="698"/>
      <c r="AL72" s="366" t="s">
        <v>464</v>
      </c>
      <c r="AM72" s="198">
        <v>75</v>
      </c>
      <c r="AN72" s="198" t="s">
        <v>267</v>
      </c>
      <c r="AO72" s="198"/>
      <c r="AP72" s="198"/>
      <c r="AQ72" s="200"/>
    </row>
    <row r="73" spans="12:43" x14ac:dyDescent="0.25">
      <c r="L73" s="698"/>
      <c r="M73" s="366" t="s">
        <v>465</v>
      </c>
      <c r="N73" s="198">
        <v>0</v>
      </c>
      <c r="O73" s="198" t="s">
        <v>71</v>
      </c>
      <c r="P73" s="198"/>
      <c r="Q73" s="198"/>
      <c r="R73" s="200"/>
      <c r="AK73" s="698"/>
      <c r="AL73" s="366" t="s">
        <v>465</v>
      </c>
      <c r="AM73" s="198">
        <v>0</v>
      </c>
      <c r="AN73" s="198" t="s">
        <v>71</v>
      </c>
      <c r="AO73" s="198"/>
      <c r="AP73" s="198"/>
      <c r="AQ73" s="200"/>
    </row>
    <row r="74" spans="12:43" x14ac:dyDescent="0.25">
      <c r="L74" s="698"/>
      <c r="M74" s="366" t="s">
        <v>466</v>
      </c>
      <c r="N74" s="198">
        <v>0</v>
      </c>
      <c r="O74" s="198"/>
      <c r="P74" s="198"/>
      <c r="Q74" s="198"/>
      <c r="R74" s="200"/>
      <c r="AK74" s="698"/>
      <c r="AL74" s="366" t="s">
        <v>466</v>
      </c>
      <c r="AM74" s="198">
        <v>0</v>
      </c>
      <c r="AN74" s="198"/>
      <c r="AO74" s="198"/>
      <c r="AP74" s="198"/>
      <c r="AQ74" s="200"/>
    </row>
    <row r="75" spans="12:43" x14ac:dyDescent="0.25">
      <c r="L75" s="698"/>
      <c r="M75" s="366" t="s">
        <v>467</v>
      </c>
      <c r="N75" s="373">
        <v>10</v>
      </c>
      <c r="O75" s="373" t="s">
        <v>445</v>
      </c>
      <c r="P75" s="373">
        <v>-0.1</v>
      </c>
      <c r="Q75" s="373" t="s">
        <v>442</v>
      </c>
      <c r="R75" s="200">
        <v>100.71</v>
      </c>
      <c r="AK75" s="698"/>
      <c r="AL75" s="366" t="s">
        <v>467</v>
      </c>
      <c r="AM75" s="373">
        <v>10</v>
      </c>
      <c r="AN75" s="373" t="s">
        <v>445</v>
      </c>
      <c r="AO75" s="373">
        <v>0.1</v>
      </c>
      <c r="AP75" s="373" t="s">
        <v>442</v>
      </c>
      <c r="AQ75" s="200">
        <v>99.19</v>
      </c>
    </row>
    <row r="76" spans="12:43" x14ac:dyDescent="0.25">
      <c r="L76" s="698"/>
      <c r="M76" s="366" t="s">
        <v>457</v>
      </c>
      <c r="N76" s="198"/>
      <c r="O76" s="198"/>
      <c r="P76" s="198"/>
      <c r="Q76" s="198"/>
      <c r="R76" s="200"/>
      <c r="AK76" s="698"/>
      <c r="AL76" s="366" t="s">
        <v>457</v>
      </c>
      <c r="AM76" s="198"/>
      <c r="AN76" s="198"/>
      <c r="AO76" s="198"/>
      <c r="AP76" s="198"/>
      <c r="AQ76" s="200"/>
    </row>
    <row r="77" spans="12:43" x14ac:dyDescent="0.25">
      <c r="L77" s="698"/>
      <c r="M77" s="366" t="s">
        <v>468</v>
      </c>
      <c r="N77" s="198"/>
      <c r="O77" s="198" t="s">
        <v>71</v>
      </c>
      <c r="P77" s="198">
        <v>0</v>
      </c>
      <c r="Q77" s="198"/>
      <c r="R77" s="200"/>
      <c r="AK77" s="698"/>
      <c r="AL77" s="366" t="s">
        <v>468</v>
      </c>
      <c r="AM77" s="198"/>
      <c r="AN77" s="198" t="s">
        <v>71</v>
      </c>
      <c r="AO77" s="198">
        <v>0</v>
      </c>
      <c r="AP77" s="198"/>
      <c r="AQ77" s="200"/>
    </row>
    <row r="78" spans="12:43" x14ac:dyDescent="0.25">
      <c r="L78" s="381"/>
      <c r="M78" s="376"/>
      <c r="N78" s="377"/>
      <c r="O78" s="377"/>
      <c r="P78" s="377"/>
      <c r="Q78" s="377"/>
      <c r="R78" s="382"/>
      <c r="AK78" s="381"/>
      <c r="AL78" s="376"/>
      <c r="AM78" s="377"/>
      <c r="AN78" s="377"/>
      <c r="AO78" s="377"/>
      <c r="AP78" s="377"/>
      <c r="AQ78" s="382"/>
    </row>
    <row r="79" spans="12:43" x14ac:dyDescent="0.25">
      <c r="L79" s="697" t="s">
        <v>440</v>
      </c>
      <c r="M79" s="374" t="s">
        <v>469</v>
      </c>
      <c r="N79" s="375"/>
      <c r="O79" s="375"/>
      <c r="P79" s="375"/>
      <c r="Q79" s="375" t="s">
        <v>442</v>
      </c>
      <c r="R79" s="383"/>
      <c r="AK79" s="697" t="s">
        <v>440</v>
      </c>
      <c r="AL79" s="374" t="s">
        <v>469</v>
      </c>
      <c r="AM79" s="375"/>
      <c r="AN79" s="375"/>
      <c r="AO79" s="375"/>
      <c r="AP79" s="375" t="s">
        <v>442</v>
      </c>
      <c r="AQ79" s="383"/>
    </row>
    <row r="80" spans="12:43" x14ac:dyDescent="0.25">
      <c r="L80" s="698"/>
      <c r="M80" s="366" t="s">
        <v>470</v>
      </c>
      <c r="N80" s="198"/>
      <c r="O80" s="198"/>
      <c r="P80" s="198"/>
      <c r="Q80" s="198"/>
      <c r="R80" s="200"/>
      <c r="AK80" s="698"/>
      <c r="AL80" s="366" t="s">
        <v>470</v>
      </c>
      <c r="AM80" s="198"/>
      <c r="AN80" s="198"/>
      <c r="AO80" s="198"/>
      <c r="AP80" s="198"/>
      <c r="AQ80" s="200"/>
    </row>
    <row r="81" spans="12:43" x14ac:dyDescent="0.25">
      <c r="L81" s="698"/>
      <c r="M81" s="366" t="s">
        <v>471</v>
      </c>
      <c r="N81" s="198">
        <v>0.99960000000000004</v>
      </c>
      <c r="O81" s="198"/>
      <c r="P81" s="198"/>
      <c r="Q81" s="198"/>
      <c r="R81" s="200"/>
      <c r="AK81" s="698"/>
      <c r="AL81" s="366" t="s">
        <v>471</v>
      </c>
      <c r="AM81" s="198">
        <v>0.99960000000000004</v>
      </c>
      <c r="AN81" s="198"/>
      <c r="AO81" s="198"/>
      <c r="AP81" s="198"/>
      <c r="AQ81" s="200"/>
    </row>
    <row r="82" spans="12:43" x14ac:dyDescent="0.25">
      <c r="L82" s="698"/>
      <c r="M82" s="366" t="s">
        <v>472</v>
      </c>
      <c r="N82" s="198">
        <v>0</v>
      </c>
      <c r="O82" s="198" t="s">
        <v>473</v>
      </c>
      <c r="P82" s="198"/>
      <c r="Q82" s="198"/>
      <c r="R82" s="200"/>
      <c r="AK82" s="698"/>
      <c r="AL82" s="366" t="s">
        <v>472</v>
      </c>
      <c r="AM82" s="198">
        <v>0</v>
      </c>
      <c r="AN82" s="198" t="s">
        <v>473</v>
      </c>
      <c r="AO82" s="198"/>
      <c r="AP82" s="198"/>
      <c r="AQ82" s="200"/>
    </row>
    <row r="83" spans="12:43" x14ac:dyDescent="0.25">
      <c r="L83" s="698"/>
      <c r="M83" s="366" t="s">
        <v>474</v>
      </c>
      <c r="N83" s="198">
        <v>510</v>
      </c>
      <c r="O83" s="198" t="s">
        <v>475</v>
      </c>
      <c r="P83" s="198"/>
      <c r="Q83" s="198"/>
      <c r="R83" s="200"/>
      <c r="AK83" s="698"/>
      <c r="AL83" s="366" t="s">
        <v>474</v>
      </c>
      <c r="AM83" s="198">
        <v>510</v>
      </c>
      <c r="AN83" s="198" t="s">
        <v>475</v>
      </c>
      <c r="AO83" s="198"/>
      <c r="AP83" s="198"/>
      <c r="AQ83" s="200"/>
    </row>
    <row r="84" spans="12:43" x14ac:dyDescent="0.25">
      <c r="L84" s="698"/>
      <c r="M84" s="366" t="s">
        <v>476</v>
      </c>
      <c r="N84" s="198">
        <v>0.57699999999999996</v>
      </c>
      <c r="O84" s="198" t="s">
        <v>71</v>
      </c>
      <c r="P84" s="198"/>
      <c r="Q84" s="198"/>
      <c r="R84" s="200"/>
      <c r="AK84" s="698"/>
      <c r="AL84" s="366" t="s">
        <v>476</v>
      </c>
      <c r="AM84" s="198">
        <v>0.104</v>
      </c>
      <c r="AN84" s="198" t="s">
        <v>71</v>
      </c>
      <c r="AO84" s="198"/>
      <c r="AP84" s="198"/>
      <c r="AQ84" s="200"/>
    </row>
    <row r="85" spans="12:43" x14ac:dyDescent="0.25">
      <c r="L85" s="698"/>
      <c r="M85" s="366" t="s">
        <v>466</v>
      </c>
      <c r="N85" s="198">
        <v>0</v>
      </c>
      <c r="O85" s="198"/>
      <c r="P85" s="198"/>
      <c r="Q85" s="198"/>
      <c r="R85" s="200"/>
      <c r="AK85" s="698"/>
      <c r="AL85" s="366" t="s">
        <v>466</v>
      </c>
      <c r="AM85" s="198">
        <v>0</v>
      </c>
      <c r="AN85" s="198"/>
      <c r="AO85" s="198"/>
      <c r="AP85" s="198"/>
      <c r="AQ85" s="200"/>
    </row>
    <row r="86" spans="12:43" x14ac:dyDescent="0.25">
      <c r="L86" s="698"/>
      <c r="M86" s="366" t="s">
        <v>467</v>
      </c>
      <c r="N86" s="373">
        <v>10</v>
      </c>
      <c r="O86" s="373" t="s">
        <v>445</v>
      </c>
      <c r="P86" s="373">
        <v>-0.1</v>
      </c>
      <c r="Q86" s="373" t="s">
        <v>442</v>
      </c>
      <c r="R86" s="200">
        <v>100.71</v>
      </c>
      <c r="AK86" s="698"/>
      <c r="AL86" s="366" t="s">
        <v>467</v>
      </c>
      <c r="AM86" s="373">
        <v>10</v>
      </c>
      <c r="AN86" s="373" t="s">
        <v>445</v>
      </c>
      <c r="AO86" s="373">
        <v>0.1</v>
      </c>
      <c r="AP86" s="373" t="s">
        <v>442</v>
      </c>
      <c r="AQ86" s="200">
        <v>99.19</v>
      </c>
    </row>
    <row r="87" spans="12:43" x14ac:dyDescent="0.25">
      <c r="L87" s="698"/>
      <c r="M87" s="366" t="s">
        <v>457</v>
      </c>
      <c r="N87" s="198"/>
      <c r="O87" s="198"/>
      <c r="P87" s="198"/>
      <c r="Q87" s="198"/>
      <c r="R87" s="200"/>
      <c r="AK87" s="698"/>
      <c r="AL87" s="366" t="s">
        <v>457</v>
      </c>
      <c r="AM87" s="198"/>
      <c r="AN87" s="198"/>
      <c r="AO87" s="198"/>
      <c r="AP87" s="198"/>
      <c r="AQ87" s="200"/>
    </row>
    <row r="88" spans="12:43" x14ac:dyDescent="0.25">
      <c r="L88" s="698"/>
      <c r="M88" s="366" t="s">
        <v>468</v>
      </c>
      <c r="N88" s="198"/>
      <c r="O88" s="198" t="s">
        <v>71</v>
      </c>
      <c r="P88" s="198">
        <v>0</v>
      </c>
      <c r="Q88" s="198"/>
      <c r="R88" s="200"/>
      <c r="AK88" s="698"/>
      <c r="AL88" s="366" t="s">
        <v>468</v>
      </c>
      <c r="AM88" s="198"/>
      <c r="AN88" s="198" t="s">
        <v>71</v>
      </c>
      <c r="AO88" s="198">
        <v>0</v>
      </c>
      <c r="AP88" s="198"/>
      <c r="AQ88" s="200"/>
    </row>
    <row r="89" spans="12:43" x14ac:dyDescent="0.25">
      <c r="L89" s="381"/>
      <c r="M89" s="376"/>
      <c r="N89" s="377"/>
      <c r="O89" s="377"/>
      <c r="P89" s="377"/>
      <c r="Q89" s="377"/>
      <c r="R89" s="382"/>
      <c r="AK89" s="381"/>
      <c r="AL89" s="376"/>
      <c r="AM89" s="377"/>
      <c r="AN89" s="377"/>
      <c r="AO89" s="377"/>
      <c r="AP89" s="377"/>
      <c r="AQ89" s="382"/>
    </row>
    <row r="90" spans="12:43" x14ac:dyDescent="0.25">
      <c r="L90" s="697" t="s">
        <v>440</v>
      </c>
      <c r="M90" s="374" t="s">
        <v>477</v>
      </c>
      <c r="N90" s="375"/>
      <c r="O90" s="375"/>
      <c r="P90" s="375"/>
      <c r="Q90" s="375" t="s">
        <v>442</v>
      </c>
      <c r="R90" s="383"/>
      <c r="AK90" s="697" t="s">
        <v>440</v>
      </c>
      <c r="AL90" s="374" t="s">
        <v>477</v>
      </c>
      <c r="AM90" s="375"/>
      <c r="AN90" s="375"/>
      <c r="AO90" s="375"/>
      <c r="AP90" s="375" t="s">
        <v>442</v>
      </c>
      <c r="AQ90" s="383"/>
    </row>
    <row r="91" spans="12:43" ht="30" x14ac:dyDescent="0.25">
      <c r="L91" s="698"/>
      <c r="M91" s="366" t="s">
        <v>479</v>
      </c>
      <c r="N91" s="198"/>
      <c r="O91" s="198"/>
      <c r="P91" s="198"/>
      <c r="Q91" s="198"/>
      <c r="R91" s="200"/>
      <c r="AK91" s="698"/>
      <c r="AL91" s="366" t="s">
        <v>479</v>
      </c>
      <c r="AM91" s="198"/>
      <c r="AN91" s="198"/>
      <c r="AO91" s="198"/>
      <c r="AP91" s="198"/>
      <c r="AQ91" s="200"/>
    </row>
    <row r="92" spans="12:43" x14ac:dyDescent="0.25">
      <c r="L92" s="698"/>
      <c r="M92" s="366" t="s">
        <v>471</v>
      </c>
      <c r="N92" s="198">
        <v>0.99965999999999999</v>
      </c>
      <c r="O92" s="198"/>
      <c r="P92" s="198"/>
      <c r="Q92" s="198"/>
      <c r="R92" s="200"/>
      <c r="AK92" s="698"/>
      <c r="AL92" s="366" t="s">
        <v>471</v>
      </c>
      <c r="AM92" s="198">
        <v>0.99965999999999999</v>
      </c>
      <c r="AN92" s="198"/>
      <c r="AO92" s="198"/>
      <c r="AP92" s="198"/>
      <c r="AQ92" s="200"/>
    </row>
    <row r="93" spans="12:43" x14ac:dyDescent="0.25">
      <c r="L93" s="698"/>
      <c r="M93" s="366" t="s">
        <v>480</v>
      </c>
      <c r="N93" s="198">
        <v>504</v>
      </c>
      <c r="O93" s="198" t="s">
        <v>481</v>
      </c>
      <c r="P93" s="198"/>
      <c r="Q93" s="198"/>
      <c r="R93" s="200"/>
      <c r="AK93" s="698"/>
      <c r="AL93" s="366" t="s">
        <v>480</v>
      </c>
      <c r="AM93" s="198">
        <v>504</v>
      </c>
      <c r="AN93" s="198" t="s">
        <v>481</v>
      </c>
      <c r="AO93" s="198"/>
      <c r="AP93" s="198"/>
      <c r="AQ93" s="200"/>
    </row>
    <row r="94" spans="12:43" ht="30" x14ac:dyDescent="0.25">
      <c r="L94" s="698"/>
      <c r="M94" s="366" t="s">
        <v>482</v>
      </c>
      <c r="N94" s="198">
        <v>6</v>
      </c>
      <c r="O94" s="198" t="s">
        <v>71</v>
      </c>
      <c r="P94" s="198"/>
      <c r="Q94" s="198"/>
      <c r="R94" s="200"/>
      <c r="AK94" s="698"/>
      <c r="AL94" s="366" t="s">
        <v>482</v>
      </c>
      <c r="AM94" s="198">
        <v>6</v>
      </c>
      <c r="AN94" s="198" t="s">
        <v>71</v>
      </c>
      <c r="AO94" s="198"/>
      <c r="AP94" s="198"/>
      <c r="AQ94" s="200"/>
    </row>
    <row r="95" spans="12:43" x14ac:dyDescent="0.25">
      <c r="L95" s="698"/>
      <c r="M95" s="366" t="s">
        <v>483</v>
      </c>
      <c r="N95" s="198">
        <v>50</v>
      </c>
      <c r="O95" s="198" t="s">
        <v>117</v>
      </c>
      <c r="P95" s="198"/>
      <c r="Q95" s="198"/>
      <c r="R95" s="200"/>
      <c r="AK95" s="698"/>
      <c r="AL95" s="366" t="s">
        <v>483</v>
      </c>
      <c r="AM95" s="198">
        <v>50</v>
      </c>
      <c r="AN95" s="198" t="s">
        <v>117</v>
      </c>
      <c r="AO95" s="198"/>
      <c r="AP95" s="198"/>
      <c r="AQ95" s="200"/>
    </row>
    <row r="96" spans="12:43" ht="30" x14ac:dyDescent="0.25">
      <c r="L96" s="698"/>
      <c r="M96" s="366" t="s">
        <v>484</v>
      </c>
      <c r="N96" s="198">
        <v>0.45100000000000001</v>
      </c>
      <c r="O96" s="198" t="s">
        <v>71</v>
      </c>
      <c r="P96" s="198"/>
      <c r="Q96" s="198"/>
      <c r="R96" s="200"/>
      <c r="AK96" s="698"/>
      <c r="AL96" s="366" t="s">
        <v>484</v>
      </c>
      <c r="AM96" s="198">
        <v>1.7090000000000001</v>
      </c>
      <c r="AN96" s="198" t="s">
        <v>71</v>
      </c>
      <c r="AO96" s="198"/>
      <c r="AP96" s="198"/>
      <c r="AQ96" s="200"/>
    </row>
    <row r="97" spans="12:43" x14ac:dyDescent="0.25">
      <c r="L97" s="698"/>
      <c r="M97" s="366" t="s">
        <v>466</v>
      </c>
      <c r="N97" s="198">
        <v>0</v>
      </c>
      <c r="O97" s="198"/>
      <c r="P97" s="198"/>
      <c r="Q97" s="198"/>
      <c r="R97" s="200"/>
      <c r="AK97" s="698"/>
      <c r="AL97" s="366" t="s">
        <v>466</v>
      </c>
      <c r="AM97" s="198">
        <v>0</v>
      </c>
      <c r="AN97" s="198"/>
      <c r="AO97" s="198"/>
      <c r="AP97" s="198"/>
      <c r="AQ97" s="200"/>
    </row>
    <row r="98" spans="12:43" x14ac:dyDescent="0.25">
      <c r="L98" s="698"/>
      <c r="M98" s="366" t="s">
        <v>485</v>
      </c>
      <c r="N98" s="198">
        <v>1.5</v>
      </c>
      <c r="O98" s="198"/>
      <c r="P98" s="198"/>
      <c r="Q98" s="198"/>
      <c r="R98" s="200"/>
      <c r="AK98" s="698"/>
      <c r="AL98" s="366" t="s">
        <v>485</v>
      </c>
      <c r="AM98" s="198">
        <v>1.5</v>
      </c>
      <c r="AN98" s="198"/>
      <c r="AO98" s="198"/>
      <c r="AP98" s="198"/>
      <c r="AQ98" s="200"/>
    </row>
    <row r="99" spans="12:43" x14ac:dyDescent="0.25">
      <c r="L99" s="698"/>
      <c r="M99" s="366" t="s">
        <v>486</v>
      </c>
      <c r="N99" s="198"/>
      <c r="O99" s="198"/>
      <c r="P99" s="198"/>
      <c r="Q99" s="198"/>
      <c r="R99" s="200"/>
      <c r="AK99" s="698"/>
      <c r="AL99" s="366" t="s">
        <v>486</v>
      </c>
      <c r="AM99" s="198"/>
      <c r="AN99" s="198"/>
      <c r="AO99" s="198"/>
      <c r="AP99" s="198"/>
      <c r="AQ99" s="200"/>
    </row>
    <row r="100" spans="12:43" ht="30" x14ac:dyDescent="0.25">
      <c r="L100" s="698"/>
      <c r="M100" s="366" t="s">
        <v>487</v>
      </c>
      <c r="N100" s="198" t="s">
        <v>591</v>
      </c>
      <c r="O100" s="198" t="s">
        <v>445</v>
      </c>
      <c r="P100" s="198">
        <v>-19.600000000000001</v>
      </c>
      <c r="Q100" s="198"/>
      <c r="R100" s="200"/>
      <c r="AK100" s="698"/>
      <c r="AL100" s="366" t="s">
        <v>487</v>
      </c>
      <c r="AM100" s="198" t="s">
        <v>599</v>
      </c>
      <c r="AN100" s="198" t="s">
        <v>445</v>
      </c>
      <c r="AO100" s="198">
        <v>-23.1</v>
      </c>
      <c r="AP100" s="198"/>
      <c r="AQ100" s="200"/>
    </row>
    <row r="101" spans="12:43" ht="30" x14ac:dyDescent="0.25">
      <c r="L101" s="698"/>
      <c r="M101" s="366" t="s">
        <v>488</v>
      </c>
      <c r="N101" s="198"/>
      <c r="O101" s="198"/>
      <c r="P101" s="198"/>
      <c r="Q101" s="198"/>
      <c r="R101" s="200"/>
      <c r="AK101" s="698"/>
      <c r="AL101" s="366" t="s">
        <v>488</v>
      </c>
      <c r="AM101" s="198"/>
      <c r="AN101" s="198"/>
      <c r="AO101" s="198"/>
      <c r="AP101" s="198"/>
      <c r="AQ101" s="200"/>
    </row>
    <row r="102" spans="12:43" x14ac:dyDescent="0.25">
      <c r="L102" s="698"/>
      <c r="M102" s="366" t="s">
        <v>444</v>
      </c>
      <c r="N102" s="198">
        <v>50</v>
      </c>
      <c r="O102" s="198" t="s">
        <v>445</v>
      </c>
      <c r="P102" s="198">
        <v>50</v>
      </c>
      <c r="Q102" s="198"/>
      <c r="R102" s="200"/>
      <c r="AK102" s="698"/>
      <c r="AL102" s="366" t="s">
        <v>444</v>
      </c>
      <c r="AM102" s="198">
        <v>50</v>
      </c>
      <c r="AN102" s="198" t="s">
        <v>445</v>
      </c>
      <c r="AO102" s="198">
        <v>50</v>
      </c>
      <c r="AP102" s="198"/>
      <c r="AQ102" s="200"/>
    </row>
    <row r="103" spans="12:43" x14ac:dyDescent="0.25">
      <c r="L103" s="698"/>
      <c r="M103" s="366" t="s">
        <v>451</v>
      </c>
      <c r="N103" s="198" t="s">
        <v>452</v>
      </c>
      <c r="O103" s="198" t="s">
        <v>445</v>
      </c>
      <c r="P103" s="198"/>
      <c r="Q103" s="198"/>
      <c r="R103" s="200"/>
      <c r="AK103" s="698"/>
      <c r="AL103" s="366" t="s">
        <v>451</v>
      </c>
      <c r="AM103" s="198" t="s">
        <v>452</v>
      </c>
      <c r="AN103" s="198" t="s">
        <v>445</v>
      </c>
      <c r="AO103" s="198"/>
      <c r="AP103" s="198"/>
      <c r="AQ103" s="200"/>
    </row>
    <row r="104" spans="12:43" ht="30" x14ac:dyDescent="0.25">
      <c r="L104" s="698"/>
      <c r="M104" s="366" t="s">
        <v>489</v>
      </c>
      <c r="N104" s="198">
        <v>121.3</v>
      </c>
      <c r="O104" s="198" t="s">
        <v>445</v>
      </c>
      <c r="P104" s="198"/>
      <c r="Q104" s="198"/>
      <c r="R104" s="200"/>
      <c r="AK104" s="698"/>
      <c r="AL104" s="366" t="s">
        <v>489</v>
      </c>
      <c r="AM104" s="198">
        <v>150</v>
      </c>
      <c r="AN104" s="198" t="s">
        <v>445</v>
      </c>
      <c r="AO104" s="198"/>
      <c r="AP104" s="198"/>
      <c r="AQ104" s="200"/>
    </row>
    <row r="105" spans="12:43" ht="30" x14ac:dyDescent="0.25">
      <c r="L105" s="698"/>
      <c r="M105" s="366" t="s">
        <v>490</v>
      </c>
      <c r="N105" s="198"/>
      <c r="O105" s="198"/>
      <c r="P105" s="198"/>
      <c r="Q105" s="198"/>
      <c r="R105" s="200"/>
      <c r="AK105" s="698"/>
      <c r="AL105" s="366" t="s">
        <v>490</v>
      </c>
      <c r="AM105" s="198"/>
      <c r="AN105" s="198"/>
      <c r="AO105" s="198"/>
      <c r="AP105" s="198"/>
      <c r="AQ105" s="200"/>
    </row>
    <row r="106" spans="12:43" x14ac:dyDescent="0.25">
      <c r="L106" s="698"/>
      <c r="M106" s="366" t="s">
        <v>456</v>
      </c>
      <c r="N106" s="198">
        <v>87.3</v>
      </c>
      <c r="O106" s="198" t="s">
        <v>445</v>
      </c>
      <c r="P106" s="198">
        <v>87.3</v>
      </c>
      <c r="Q106" s="198"/>
      <c r="R106" s="200"/>
      <c r="AK106" s="698"/>
      <c r="AL106" s="366" t="s">
        <v>456</v>
      </c>
      <c r="AM106" s="198">
        <v>99.1</v>
      </c>
      <c r="AN106" s="198" t="s">
        <v>445</v>
      </c>
      <c r="AO106" s="198">
        <v>99.1</v>
      </c>
      <c r="AP106" s="198"/>
      <c r="AQ106" s="200"/>
    </row>
    <row r="107" spans="12:43" ht="30" x14ac:dyDescent="0.25">
      <c r="L107" s="698"/>
      <c r="M107" s="366" t="s">
        <v>491</v>
      </c>
      <c r="N107" s="198" t="s">
        <v>492</v>
      </c>
      <c r="O107" s="198"/>
      <c r="P107" s="198"/>
      <c r="Q107" s="198"/>
      <c r="R107" s="200"/>
      <c r="AK107" s="698"/>
      <c r="AL107" s="366" t="s">
        <v>491</v>
      </c>
      <c r="AM107" s="198" t="s">
        <v>492</v>
      </c>
      <c r="AN107" s="198"/>
      <c r="AO107" s="198"/>
      <c r="AP107" s="198"/>
      <c r="AQ107" s="200"/>
    </row>
    <row r="108" spans="12:43" x14ac:dyDescent="0.25">
      <c r="L108" s="698"/>
      <c r="M108" s="366" t="s">
        <v>493</v>
      </c>
      <c r="N108" s="198"/>
      <c r="O108" s="198"/>
      <c r="P108" s="198"/>
      <c r="Q108" s="198" t="s">
        <v>442</v>
      </c>
      <c r="R108" s="200"/>
      <c r="AK108" s="698"/>
      <c r="AL108" s="366" t="s">
        <v>493</v>
      </c>
      <c r="AM108" s="198"/>
      <c r="AN108" s="198"/>
      <c r="AO108" s="198"/>
      <c r="AP108" s="198" t="s">
        <v>442</v>
      </c>
      <c r="AQ108" s="200"/>
    </row>
    <row r="109" spans="12:43" ht="30" x14ac:dyDescent="0.25">
      <c r="L109" s="698"/>
      <c r="M109" s="366" t="s">
        <v>494</v>
      </c>
      <c r="N109" s="373">
        <v>16</v>
      </c>
      <c r="O109" s="373" t="s">
        <v>445</v>
      </c>
      <c r="P109" s="373">
        <v>5.4</v>
      </c>
      <c r="Q109" s="373" t="s">
        <v>442</v>
      </c>
      <c r="R109" s="200">
        <v>66.12</v>
      </c>
      <c r="AK109" s="698"/>
      <c r="AL109" s="366" t="s">
        <v>494</v>
      </c>
      <c r="AM109" s="373">
        <v>16</v>
      </c>
      <c r="AN109" s="373" t="s">
        <v>445</v>
      </c>
      <c r="AO109" s="373">
        <v>1.9</v>
      </c>
      <c r="AP109" s="373" t="s">
        <v>442</v>
      </c>
      <c r="AQ109" s="200">
        <v>88.32</v>
      </c>
    </row>
    <row r="110" spans="12:43" ht="45" x14ac:dyDescent="0.25">
      <c r="L110" s="698"/>
      <c r="M110" s="366" t="s">
        <v>495</v>
      </c>
      <c r="N110" s="373">
        <v>80</v>
      </c>
      <c r="O110" s="373" t="s">
        <v>475</v>
      </c>
      <c r="P110" s="373">
        <v>53.95</v>
      </c>
      <c r="Q110" s="373" t="s">
        <v>442</v>
      </c>
      <c r="R110" s="200">
        <v>32.56</v>
      </c>
      <c r="AK110" s="698"/>
      <c r="AL110" s="366" t="s">
        <v>495</v>
      </c>
      <c r="AM110" s="373">
        <v>80</v>
      </c>
      <c r="AN110" s="373" t="s">
        <v>475</v>
      </c>
      <c r="AO110" s="373">
        <v>19.350000000000001</v>
      </c>
      <c r="AP110" s="373" t="s">
        <v>442</v>
      </c>
      <c r="AQ110" s="200">
        <v>75.81</v>
      </c>
    </row>
    <row r="111" spans="12:43" x14ac:dyDescent="0.25">
      <c r="L111" s="698"/>
      <c r="M111" s="366" t="s">
        <v>496</v>
      </c>
      <c r="N111" s="373">
        <v>100</v>
      </c>
      <c r="O111" s="373" t="s">
        <v>475</v>
      </c>
      <c r="P111" s="373">
        <v>100.81</v>
      </c>
      <c r="Q111" s="373" t="s">
        <v>442</v>
      </c>
      <c r="R111" s="200">
        <v>0.81</v>
      </c>
      <c r="AK111" s="698"/>
      <c r="AL111" s="366" t="s">
        <v>496</v>
      </c>
      <c r="AM111" s="373">
        <v>100</v>
      </c>
      <c r="AN111" s="373" t="s">
        <v>475</v>
      </c>
      <c r="AO111" s="373">
        <v>220.98</v>
      </c>
      <c r="AP111" s="373" t="s">
        <v>442</v>
      </c>
      <c r="AQ111" s="200">
        <v>120.98</v>
      </c>
    </row>
    <row r="112" spans="12:43" x14ac:dyDescent="0.25">
      <c r="L112" s="698"/>
      <c r="M112" s="366" t="s">
        <v>457</v>
      </c>
      <c r="N112" s="198"/>
      <c r="O112" s="198"/>
      <c r="P112" s="198"/>
      <c r="Q112" s="198"/>
      <c r="R112" s="200"/>
      <c r="AK112" s="698"/>
      <c r="AL112" s="366" t="s">
        <v>457</v>
      </c>
      <c r="AM112" s="198"/>
      <c r="AN112" s="198"/>
      <c r="AO112" s="198"/>
      <c r="AP112" s="198"/>
      <c r="AQ112" s="200"/>
    </row>
    <row r="113" spans="12:43" x14ac:dyDescent="0.25">
      <c r="L113" s="698"/>
      <c r="M113" s="366" t="s">
        <v>497</v>
      </c>
      <c r="N113" s="198"/>
      <c r="O113" s="198" t="s">
        <v>117</v>
      </c>
      <c r="P113" s="198">
        <v>150.92400000000001</v>
      </c>
      <c r="Q113" s="198"/>
      <c r="R113" s="200"/>
      <c r="AK113" s="698"/>
      <c r="AL113" s="366" t="s">
        <v>497</v>
      </c>
      <c r="AM113" s="198"/>
      <c r="AN113" s="198" t="s">
        <v>117</v>
      </c>
      <c r="AO113" s="198">
        <v>152.68199999999999</v>
      </c>
      <c r="AP113" s="198"/>
      <c r="AQ113" s="200"/>
    </row>
    <row r="114" spans="12:43" ht="30" x14ac:dyDescent="0.25">
      <c r="L114" s="698"/>
      <c r="M114" s="366" t="s">
        <v>498</v>
      </c>
      <c r="N114" s="198"/>
      <c r="O114" s="198" t="s">
        <v>71</v>
      </c>
      <c r="P114" s="198">
        <v>3.9249999999999998</v>
      </c>
      <c r="Q114" s="198"/>
      <c r="R114" s="200"/>
      <c r="AK114" s="698"/>
      <c r="AL114" s="366" t="s">
        <v>498</v>
      </c>
      <c r="AM114" s="198"/>
      <c r="AN114" s="198" t="s">
        <v>71</v>
      </c>
      <c r="AO114" s="198">
        <v>6.6760000000000002</v>
      </c>
      <c r="AP114" s="198"/>
      <c r="AQ114" s="200"/>
    </row>
    <row r="115" spans="12:43" x14ac:dyDescent="0.25">
      <c r="L115" s="698"/>
      <c r="M115" s="366" t="s">
        <v>499</v>
      </c>
      <c r="N115" s="198"/>
      <c r="O115" s="198" t="s">
        <v>117</v>
      </c>
      <c r="P115" s="198">
        <v>200.92400000000001</v>
      </c>
      <c r="Q115" s="198"/>
      <c r="R115" s="200"/>
      <c r="AK115" s="698"/>
      <c r="AL115" s="366" t="s">
        <v>499</v>
      </c>
      <c r="AM115" s="198"/>
      <c r="AN115" s="198" t="s">
        <v>117</v>
      </c>
      <c r="AO115" s="198">
        <v>202.68199999999999</v>
      </c>
      <c r="AP115" s="198"/>
      <c r="AQ115" s="200"/>
    </row>
    <row r="116" spans="12:43" ht="30" x14ac:dyDescent="0.25">
      <c r="L116" s="698"/>
      <c r="M116" s="366" t="s">
        <v>500</v>
      </c>
      <c r="N116" s="198"/>
      <c r="O116" s="198" t="s">
        <v>71</v>
      </c>
      <c r="P116" s="198">
        <v>4.4420000000000002</v>
      </c>
      <c r="Q116" s="198"/>
      <c r="R116" s="200"/>
      <c r="AK116" s="698"/>
      <c r="AL116" s="366" t="s">
        <v>500</v>
      </c>
      <c r="AM116" s="198"/>
      <c r="AN116" s="198" t="s">
        <v>71</v>
      </c>
      <c r="AO116" s="198">
        <v>6.5090000000000003</v>
      </c>
      <c r="AP116" s="198"/>
      <c r="AQ116" s="200"/>
    </row>
    <row r="117" spans="12:43" x14ac:dyDescent="0.25">
      <c r="L117" s="698"/>
      <c r="M117" s="366" t="s">
        <v>468</v>
      </c>
      <c r="N117" s="198"/>
      <c r="O117" s="198" t="s">
        <v>71</v>
      </c>
      <c r="P117" s="198">
        <v>0.38900000000000001</v>
      </c>
      <c r="Q117" s="198"/>
      <c r="R117" s="200"/>
      <c r="AK117" s="698"/>
      <c r="AL117" s="366" t="s">
        <v>468</v>
      </c>
      <c r="AM117" s="198"/>
      <c r="AN117" s="198" t="s">
        <v>71</v>
      </c>
      <c r="AO117" s="198">
        <v>0.35699999999999998</v>
      </c>
      <c r="AP117" s="198"/>
      <c r="AQ117" s="200"/>
    </row>
    <row r="118" spans="12:43" x14ac:dyDescent="0.25">
      <c r="L118" s="698"/>
      <c r="M118" s="366" t="s">
        <v>501</v>
      </c>
      <c r="N118" s="198"/>
      <c r="O118" s="198" t="s">
        <v>445</v>
      </c>
      <c r="P118" s="198">
        <v>5.4</v>
      </c>
      <c r="Q118" s="198"/>
      <c r="R118" s="200"/>
      <c r="AK118" s="698"/>
      <c r="AL118" s="366" t="s">
        <v>501</v>
      </c>
      <c r="AM118" s="198"/>
      <c r="AN118" s="198" t="s">
        <v>445</v>
      </c>
      <c r="AO118" s="198">
        <v>1.9</v>
      </c>
      <c r="AP118" s="198"/>
      <c r="AQ118" s="200"/>
    </row>
    <row r="119" spans="12:43" x14ac:dyDescent="0.25">
      <c r="L119" s="698"/>
      <c r="M119" s="366" t="s">
        <v>502</v>
      </c>
      <c r="N119" s="198"/>
      <c r="O119" s="198" t="s">
        <v>445</v>
      </c>
      <c r="P119" s="198">
        <v>8.4</v>
      </c>
      <c r="Q119" s="198"/>
      <c r="R119" s="200"/>
      <c r="AK119" s="698"/>
      <c r="AL119" s="366" t="s">
        <v>502</v>
      </c>
      <c r="AM119" s="198"/>
      <c r="AN119" s="198" t="s">
        <v>445</v>
      </c>
      <c r="AO119" s="198">
        <v>2.8</v>
      </c>
      <c r="AP119" s="198"/>
      <c r="AQ119" s="200"/>
    </row>
    <row r="120" spans="12:43" x14ac:dyDescent="0.25">
      <c r="L120" s="698"/>
      <c r="M120" s="366" t="s">
        <v>503</v>
      </c>
      <c r="N120" s="198"/>
      <c r="O120" s="198" t="s">
        <v>445</v>
      </c>
      <c r="P120" s="198">
        <v>10</v>
      </c>
      <c r="Q120" s="198"/>
      <c r="R120" s="200"/>
      <c r="AK120" s="698"/>
      <c r="AL120" s="366" t="s">
        <v>503</v>
      </c>
      <c r="AM120" s="198"/>
      <c r="AN120" s="198" t="s">
        <v>445</v>
      </c>
      <c r="AO120" s="198">
        <v>9.6999999999999993</v>
      </c>
      <c r="AP120" s="198"/>
      <c r="AQ120" s="200"/>
    </row>
    <row r="121" spans="12:43" x14ac:dyDescent="0.25">
      <c r="L121" s="698"/>
      <c r="M121" s="366" t="s">
        <v>504</v>
      </c>
      <c r="N121" s="198"/>
      <c r="O121" s="198" t="s">
        <v>449</v>
      </c>
      <c r="P121" s="198">
        <v>49.810099999999998</v>
      </c>
      <c r="Q121" s="198"/>
      <c r="R121" s="200"/>
      <c r="AK121" s="698"/>
      <c r="AL121" s="366" t="s">
        <v>504</v>
      </c>
      <c r="AM121" s="198"/>
      <c r="AN121" s="198" t="s">
        <v>449</v>
      </c>
      <c r="AO121" s="198">
        <v>173.45400000000001</v>
      </c>
      <c r="AP121" s="198"/>
      <c r="AQ121" s="200"/>
    </row>
    <row r="122" spans="12:43" x14ac:dyDescent="0.25">
      <c r="L122" s="698"/>
      <c r="M122" s="366" t="s">
        <v>505</v>
      </c>
      <c r="N122" s="198"/>
      <c r="O122" s="198" t="s">
        <v>449</v>
      </c>
      <c r="P122" s="198">
        <v>24.297000000000001</v>
      </c>
      <c r="Q122" s="198"/>
      <c r="R122" s="200"/>
      <c r="AK122" s="698"/>
      <c r="AL122" s="366" t="s">
        <v>505</v>
      </c>
      <c r="AM122" s="198"/>
      <c r="AN122" s="198" t="s">
        <v>449</v>
      </c>
      <c r="AO122" s="198">
        <v>25.263000000000002</v>
      </c>
      <c r="AP122" s="198"/>
      <c r="AQ122" s="200"/>
    </row>
    <row r="123" spans="12:43" x14ac:dyDescent="0.25">
      <c r="L123" s="698"/>
      <c r="M123" s="366" t="s">
        <v>506</v>
      </c>
      <c r="N123" s="198"/>
      <c r="O123" s="198" t="s">
        <v>449</v>
      </c>
      <c r="P123" s="198">
        <v>25.513100000000001</v>
      </c>
      <c r="Q123" s="198"/>
      <c r="R123" s="200"/>
      <c r="AK123" s="698"/>
      <c r="AL123" s="366" t="s">
        <v>506</v>
      </c>
      <c r="AM123" s="198"/>
      <c r="AN123" s="198" t="s">
        <v>449</v>
      </c>
      <c r="AO123" s="198">
        <v>148.191</v>
      </c>
      <c r="AP123" s="198"/>
      <c r="AQ123" s="200"/>
    </row>
    <row r="124" spans="12:43" x14ac:dyDescent="0.25">
      <c r="L124" s="698"/>
      <c r="M124" s="366" t="s">
        <v>507</v>
      </c>
      <c r="N124" s="198"/>
      <c r="O124" s="198" t="s">
        <v>449</v>
      </c>
      <c r="P124" s="198">
        <v>-9.0039999999999996</v>
      </c>
      <c r="Q124" s="198"/>
      <c r="R124" s="200"/>
      <c r="AK124" s="698"/>
      <c r="AL124" s="366" t="s">
        <v>507</v>
      </c>
      <c r="AM124" s="198"/>
      <c r="AN124" s="198" t="s">
        <v>449</v>
      </c>
      <c r="AO124" s="198">
        <v>-53.213299999999997</v>
      </c>
      <c r="AP124" s="198"/>
      <c r="AQ124" s="200"/>
    </row>
    <row r="125" spans="12:43" x14ac:dyDescent="0.25">
      <c r="L125" s="698"/>
      <c r="M125" s="366" t="s">
        <v>508</v>
      </c>
      <c r="N125" s="198"/>
      <c r="O125" s="198" t="s">
        <v>449</v>
      </c>
      <c r="P125" s="198">
        <v>16.3049</v>
      </c>
      <c r="Q125" s="198"/>
      <c r="R125" s="200"/>
      <c r="AK125" s="698"/>
      <c r="AL125" s="366" t="s">
        <v>508</v>
      </c>
      <c r="AM125" s="198"/>
      <c r="AN125" s="198" t="s">
        <v>449</v>
      </c>
      <c r="AO125" s="198">
        <v>13.8461</v>
      </c>
      <c r="AP125" s="198"/>
      <c r="AQ125" s="200"/>
    </row>
    <row r="126" spans="12:43" ht="15.75" thickBot="1" x14ac:dyDescent="0.3">
      <c r="L126" s="699"/>
      <c r="M126" s="370" t="s">
        <v>509</v>
      </c>
      <c r="N126" s="371"/>
      <c r="O126" s="371" t="s">
        <v>449</v>
      </c>
      <c r="P126" s="371">
        <v>25.308900000000001</v>
      </c>
      <c r="Q126" s="371"/>
      <c r="R126" s="372"/>
      <c r="AK126" s="699"/>
      <c r="AL126" s="370" t="s">
        <v>509</v>
      </c>
      <c r="AM126" s="371"/>
      <c r="AN126" s="371" t="s">
        <v>449</v>
      </c>
      <c r="AO126" s="371">
        <v>67.0595</v>
      </c>
      <c r="AP126" s="371"/>
      <c r="AQ126" s="372"/>
    </row>
  </sheetData>
  <mergeCells count="39">
    <mergeCell ref="L79:L88"/>
    <mergeCell ref="L90:L126"/>
    <mergeCell ref="L34:L41"/>
    <mergeCell ref="L43:L50"/>
    <mergeCell ref="L52:L60"/>
    <mergeCell ref="L62:L63"/>
    <mergeCell ref="L65:L67"/>
    <mergeCell ref="L69:L77"/>
    <mergeCell ref="L26:L32"/>
    <mergeCell ref="B6:C6"/>
    <mergeCell ref="M6:AI7"/>
    <mergeCell ref="B7:C7"/>
    <mergeCell ref="B8:C8"/>
    <mergeCell ref="M8:M9"/>
    <mergeCell ref="N8:AI8"/>
    <mergeCell ref="B9:C9"/>
    <mergeCell ref="B10:C10"/>
    <mergeCell ref="B11:C11"/>
    <mergeCell ref="B12:C12"/>
    <mergeCell ref="B13:C13"/>
    <mergeCell ref="B14:B16"/>
    <mergeCell ref="B2:J2"/>
    <mergeCell ref="B3:C5"/>
    <mergeCell ref="D3:F5"/>
    <mergeCell ref="G3:J3"/>
    <mergeCell ref="G4:H4"/>
    <mergeCell ref="I4:J4"/>
    <mergeCell ref="AL6:BH7"/>
    <mergeCell ref="AL8:AL9"/>
    <mergeCell ref="AM8:BH8"/>
    <mergeCell ref="AK26:AK32"/>
    <mergeCell ref="AK34:AK41"/>
    <mergeCell ref="AK79:AK88"/>
    <mergeCell ref="AK90:AK126"/>
    <mergeCell ref="AK43:AK50"/>
    <mergeCell ref="AK52:AK60"/>
    <mergeCell ref="AK62:AK63"/>
    <mergeCell ref="AK65:AK67"/>
    <mergeCell ref="AK69:AK7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98797-813E-47BE-9275-898AAE02AB7D}">
  <sheetPr>
    <tabColor rgb="FF92D050"/>
  </sheetPr>
  <dimension ref="B1:BH126"/>
  <sheetViews>
    <sheetView zoomScale="85" zoomScaleNormal="85" workbookViewId="0">
      <selection activeCell="G15" sqref="G15:J16"/>
    </sheetView>
  </sheetViews>
  <sheetFormatPr defaultColWidth="8.85546875" defaultRowHeight="15" x14ac:dyDescent="0.25"/>
  <cols>
    <col min="1" max="1" width="8.85546875" style="245"/>
    <col min="2" max="2" width="9.7109375" style="198" customWidth="1"/>
    <col min="3" max="3" width="25.140625" style="198" customWidth="1"/>
    <col min="4" max="4" width="22.42578125" style="336" bestFit="1" customWidth="1"/>
    <col min="5" max="5" width="7" style="350" bestFit="1" customWidth="1"/>
    <col min="6" max="6" width="6" style="336" bestFit="1" customWidth="1"/>
    <col min="7" max="7" width="7.5703125" style="245" bestFit="1" customWidth="1"/>
    <col min="8" max="8" width="14.42578125" style="245" customWidth="1"/>
    <col min="9" max="9" width="7.5703125" style="245" bestFit="1" customWidth="1"/>
    <col min="10" max="10" width="14.42578125" style="245" customWidth="1"/>
    <col min="11" max="11" width="8.85546875" style="245"/>
    <col min="12" max="12" width="25.42578125" style="378" customWidth="1"/>
    <col min="13" max="13" width="38.7109375" style="361" customWidth="1"/>
    <col min="14" max="36" width="8.85546875" style="245"/>
    <col min="37" max="37" width="25.42578125" style="378" customWidth="1"/>
    <col min="38" max="38" width="38.7109375" style="361" customWidth="1"/>
    <col min="39" max="16384" width="8.85546875" style="245"/>
  </cols>
  <sheetData>
    <row r="1" spans="2:60" ht="15.75" thickBot="1" x14ac:dyDescent="0.3"/>
    <row r="2" spans="2:60" x14ac:dyDescent="0.25">
      <c r="B2" s="719" t="s">
        <v>586</v>
      </c>
      <c r="C2" s="708"/>
      <c r="D2" s="708"/>
      <c r="E2" s="708"/>
      <c r="F2" s="708"/>
      <c r="G2" s="708"/>
      <c r="H2" s="708"/>
      <c r="I2" s="708"/>
      <c r="J2" s="709"/>
    </row>
    <row r="3" spans="2:60" x14ac:dyDescent="0.25">
      <c r="B3" s="720" t="s">
        <v>519</v>
      </c>
      <c r="C3" s="655"/>
      <c r="D3" s="725" t="s">
        <v>510</v>
      </c>
      <c r="E3" s="726"/>
      <c r="F3" s="727"/>
      <c r="G3" s="601" t="s">
        <v>542</v>
      </c>
      <c r="H3" s="734"/>
      <c r="I3" s="734"/>
      <c r="J3" s="641"/>
    </row>
    <row r="4" spans="2:60" ht="14.45" customHeight="1" x14ac:dyDescent="0.25">
      <c r="B4" s="721"/>
      <c r="C4" s="722"/>
      <c r="D4" s="728"/>
      <c r="E4" s="729"/>
      <c r="F4" s="730"/>
      <c r="G4" s="603" t="s">
        <v>15</v>
      </c>
      <c r="H4" s="603"/>
      <c r="I4" s="603" t="s">
        <v>16</v>
      </c>
      <c r="J4" s="711"/>
    </row>
    <row r="5" spans="2:60" ht="15.75" thickBot="1" x14ac:dyDescent="0.3">
      <c r="B5" s="723"/>
      <c r="C5" s="724"/>
      <c r="D5" s="731"/>
      <c r="E5" s="732"/>
      <c r="F5" s="733"/>
      <c r="G5" s="332" t="s">
        <v>397</v>
      </c>
      <c r="H5" s="332" t="s">
        <v>511</v>
      </c>
      <c r="I5" s="332" t="s">
        <v>397</v>
      </c>
      <c r="J5" s="360" t="s">
        <v>511</v>
      </c>
      <c r="L5" s="379"/>
      <c r="M5" s="362"/>
      <c r="N5" s="321"/>
      <c r="O5" s="321"/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21"/>
      <c r="AA5" s="321"/>
      <c r="AB5" s="321"/>
      <c r="AC5" s="321"/>
      <c r="AD5" s="321"/>
      <c r="AE5" s="321"/>
      <c r="AF5" s="321"/>
      <c r="AG5" s="321"/>
      <c r="AH5" s="321"/>
      <c r="AI5" s="321"/>
      <c r="AK5" s="379"/>
      <c r="AL5" s="362"/>
      <c r="AM5" s="321"/>
      <c r="AN5" s="321"/>
      <c r="AO5" s="321"/>
      <c r="AP5" s="321"/>
      <c r="AQ5" s="321"/>
      <c r="AR5" s="321"/>
      <c r="AS5" s="321"/>
      <c r="AT5" s="321"/>
      <c r="AU5" s="321"/>
      <c r="AV5" s="321"/>
      <c r="AW5" s="321"/>
      <c r="AX5" s="321"/>
      <c r="AY5" s="321"/>
      <c r="AZ5" s="321"/>
      <c r="BA5" s="321"/>
      <c r="BB5" s="321"/>
      <c r="BC5" s="321"/>
      <c r="BD5" s="321"/>
      <c r="BE5" s="321"/>
      <c r="BF5" s="321"/>
      <c r="BG5" s="321"/>
      <c r="BH5" s="321"/>
    </row>
    <row r="6" spans="2:60" x14ac:dyDescent="0.25">
      <c r="B6" s="714" t="s">
        <v>512</v>
      </c>
      <c r="C6" s="715"/>
      <c r="D6" s="387" t="s">
        <v>517</v>
      </c>
      <c r="E6" s="388">
        <f>N32</f>
        <v>3.1513</v>
      </c>
      <c r="F6" s="389" t="s">
        <v>449</v>
      </c>
      <c r="G6" s="340">
        <f>P32</f>
        <v>25.042899999999999</v>
      </c>
      <c r="H6" s="340" t="str">
        <f>IF(G6&gt;=$E6,"PASS","FAIL")</f>
        <v>PASS</v>
      </c>
      <c r="I6" s="340">
        <f>AO32</f>
        <v>85.744399999999999</v>
      </c>
      <c r="J6" s="341" t="str">
        <f>IF(I6&gt;=$E6,"PASS","FAIL")</f>
        <v>PASS</v>
      </c>
      <c r="L6" s="379"/>
      <c r="M6" s="700" t="s">
        <v>541</v>
      </c>
      <c r="N6" s="701"/>
      <c r="O6" s="701"/>
      <c r="P6" s="701"/>
      <c r="Q6" s="701"/>
      <c r="R6" s="701"/>
      <c r="S6" s="701"/>
      <c r="T6" s="701"/>
      <c r="U6" s="701"/>
      <c r="V6" s="701"/>
      <c r="W6" s="701"/>
      <c r="X6" s="701"/>
      <c r="Y6" s="701"/>
      <c r="Z6" s="701"/>
      <c r="AA6" s="701"/>
      <c r="AB6" s="701"/>
      <c r="AC6" s="701"/>
      <c r="AD6" s="701"/>
      <c r="AE6" s="701"/>
      <c r="AF6" s="701"/>
      <c r="AG6" s="701"/>
      <c r="AH6" s="701"/>
      <c r="AI6" s="702"/>
      <c r="AK6" s="379"/>
      <c r="AL6" s="700" t="s">
        <v>595</v>
      </c>
      <c r="AM6" s="701"/>
      <c r="AN6" s="701"/>
      <c r="AO6" s="701"/>
      <c r="AP6" s="701"/>
      <c r="AQ6" s="701"/>
      <c r="AR6" s="701"/>
      <c r="AS6" s="701"/>
      <c r="AT6" s="701"/>
      <c r="AU6" s="701"/>
      <c r="AV6" s="701"/>
      <c r="AW6" s="701"/>
      <c r="AX6" s="701"/>
      <c r="AY6" s="701"/>
      <c r="AZ6" s="701"/>
      <c r="BA6" s="701"/>
      <c r="BB6" s="701"/>
      <c r="BC6" s="701"/>
      <c r="BD6" s="701"/>
      <c r="BE6" s="701"/>
      <c r="BF6" s="701"/>
      <c r="BG6" s="701"/>
      <c r="BH6" s="702"/>
    </row>
    <row r="7" spans="2:60" ht="15.75" thickBot="1" x14ac:dyDescent="0.3">
      <c r="B7" s="712" t="s">
        <v>513</v>
      </c>
      <c r="C7" s="716"/>
      <c r="D7" s="354" t="s">
        <v>517</v>
      </c>
      <c r="E7" s="355">
        <f>N41</f>
        <v>5.1566000000000001</v>
      </c>
      <c r="F7" s="356" t="s">
        <v>449</v>
      </c>
      <c r="G7" s="202">
        <f>P41</f>
        <v>38.439399999999999</v>
      </c>
      <c r="H7" s="340" t="str">
        <f t="shared" ref="H7:J11" si="0">IF(G7&gt;=$E7,"PASS","FAIL")</f>
        <v>PASS</v>
      </c>
      <c r="I7" s="202">
        <f>AO41</f>
        <v>132.09229999999999</v>
      </c>
      <c r="J7" s="341" t="str">
        <f t="shared" si="0"/>
        <v>PASS</v>
      </c>
      <c r="L7" s="379"/>
      <c r="M7" s="703"/>
      <c r="N7" s="704"/>
      <c r="O7" s="704"/>
      <c r="P7" s="704"/>
      <c r="Q7" s="704"/>
      <c r="R7" s="704"/>
      <c r="S7" s="704"/>
      <c r="T7" s="704"/>
      <c r="U7" s="704"/>
      <c r="V7" s="704"/>
      <c r="W7" s="704"/>
      <c r="X7" s="704"/>
      <c r="Y7" s="704"/>
      <c r="Z7" s="704"/>
      <c r="AA7" s="704"/>
      <c r="AB7" s="704"/>
      <c r="AC7" s="704"/>
      <c r="AD7" s="704"/>
      <c r="AE7" s="704"/>
      <c r="AF7" s="704"/>
      <c r="AG7" s="704"/>
      <c r="AH7" s="704"/>
      <c r="AI7" s="705"/>
      <c r="AK7" s="379"/>
      <c r="AL7" s="703"/>
      <c r="AM7" s="704"/>
      <c r="AN7" s="704"/>
      <c r="AO7" s="704"/>
      <c r="AP7" s="704"/>
      <c r="AQ7" s="704"/>
      <c r="AR7" s="704"/>
      <c r="AS7" s="704"/>
      <c r="AT7" s="704"/>
      <c r="AU7" s="704"/>
      <c r="AV7" s="704"/>
      <c r="AW7" s="704"/>
      <c r="AX7" s="704"/>
      <c r="AY7" s="704"/>
      <c r="AZ7" s="704"/>
      <c r="BA7" s="704"/>
      <c r="BB7" s="704"/>
      <c r="BC7" s="704"/>
      <c r="BD7" s="704"/>
      <c r="BE7" s="704"/>
      <c r="BF7" s="704"/>
      <c r="BG7" s="704"/>
      <c r="BH7" s="705"/>
    </row>
    <row r="8" spans="2:60" x14ac:dyDescent="0.25">
      <c r="B8" s="712" t="s">
        <v>514</v>
      </c>
      <c r="C8" s="716"/>
      <c r="D8" s="354" t="s">
        <v>517</v>
      </c>
      <c r="E8" s="355">
        <f>N50</f>
        <v>1.7189000000000001</v>
      </c>
      <c r="F8" s="356" t="s">
        <v>449</v>
      </c>
      <c r="G8" s="202">
        <f>P50</f>
        <v>13.3965</v>
      </c>
      <c r="H8" s="340" t="str">
        <f t="shared" si="0"/>
        <v>PASS</v>
      </c>
      <c r="I8" s="202">
        <f>AO50</f>
        <v>46.347900000000003</v>
      </c>
      <c r="J8" s="341" t="str">
        <f t="shared" si="0"/>
        <v>PASS</v>
      </c>
      <c r="M8" s="706" t="s">
        <v>585</v>
      </c>
      <c r="N8" s="708" t="s">
        <v>540</v>
      </c>
      <c r="O8" s="708"/>
      <c r="P8" s="708"/>
      <c r="Q8" s="708"/>
      <c r="R8" s="708"/>
      <c r="S8" s="708"/>
      <c r="T8" s="708"/>
      <c r="U8" s="708"/>
      <c r="V8" s="708"/>
      <c r="W8" s="708"/>
      <c r="X8" s="708"/>
      <c r="Y8" s="708"/>
      <c r="Z8" s="708"/>
      <c r="AA8" s="708"/>
      <c r="AB8" s="708"/>
      <c r="AC8" s="708"/>
      <c r="AD8" s="708"/>
      <c r="AE8" s="708"/>
      <c r="AF8" s="708"/>
      <c r="AG8" s="708"/>
      <c r="AH8" s="708"/>
      <c r="AI8" s="709"/>
      <c r="AL8" s="706" t="s">
        <v>543</v>
      </c>
      <c r="AM8" s="708" t="s">
        <v>540</v>
      </c>
      <c r="AN8" s="708"/>
      <c r="AO8" s="708"/>
      <c r="AP8" s="708"/>
      <c r="AQ8" s="708"/>
      <c r="AR8" s="708"/>
      <c r="AS8" s="708"/>
      <c r="AT8" s="708"/>
      <c r="AU8" s="708"/>
      <c r="AV8" s="708"/>
      <c r="AW8" s="708"/>
      <c r="AX8" s="708"/>
      <c r="AY8" s="708"/>
      <c r="AZ8" s="708"/>
      <c r="BA8" s="708"/>
      <c r="BB8" s="708"/>
      <c r="BC8" s="708"/>
      <c r="BD8" s="708"/>
      <c r="BE8" s="708"/>
      <c r="BF8" s="708"/>
      <c r="BG8" s="708"/>
      <c r="BH8" s="709"/>
    </row>
    <row r="9" spans="2:60" ht="15.75" thickBot="1" x14ac:dyDescent="0.3">
      <c r="B9" s="717" t="s">
        <v>515</v>
      </c>
      <c r="C9" s="718"/>
      <c r="D9" s="354" t="s">
        <v>517</v>
      </c>
      <c r="E9" s="355">
        <f>N58</f>
        <v>0.2</v>
      </c>
      <c r="F9" s="356" t="s">
        <v>449</v>
      </c>
      <c r="G9" s="202">
        <f>P58</f>
        <v>1.5780000000000001</v>
      </c>
      <c r="H9" s="340" t="str">
        <f t="shared" si="0"/>
        <v>PASS</v>
      </c>
      <c r="I9" s="202">
        <f>AO58</f>
        <v>4.9790000000000001</v>
      </c>
      <c r="J9" s="341" t="str">
        <f t="shared" si="0"/>
        <v>PASS</v>
      </c>
      <c r="M9" s="707"/>
      <c r="N9" s="332">
        <v>-30</v>
      </c>
      <c r="O9" s="332">
        <v>-20</v>
      </c>
      <c r="P9" s="332">
        <v>-10</v>
      </c>
      <c r="Q9" s="332">
        <v>0</v>
      </c>
      <c r="R9" s="332">
        <v>10</v>
      </c>
      <c r="S9" s="332">
        <v>20</v>
      </c>
      <c r="T9" s="332">
        <v>30</v>
      </c>
      <c r="U9" s="332">
        <v>40</v>
      </c>
      <c r="V9" s="332">
        <v>50</v>
      </c>
      <c r="W9" s="332">
        <v>60</v>
      </c>
      <c r="X9" s="332">
        <v>70</v>
      </c>
      <c r="Y9" s="332">
        <v>80</v>
      </c>
      <c r="Z9" s="332">
        <v>90</v>
      </c>
      <c r="AA9" s="332">
        <v>100</v>
      </c>
      <c r="AB9" s="332">
        <v>110</v>
      </c>
      <c r="AC9" s="332">
        <v>120</v>
      </c>
      <c r="AD9" s="332">
        <v>130</v>
      </c>
      <c r="AE9" s="332">
        <v>140</v>
      </c>
      <c r="AF9" s="332">
        <v>150</v>
      </c>
      <c r="AG9" s="332">
        <v>160</v>
      </c>
      <c r="AH9" s="332">
        <v>170</v>
      </c>
      <c r="AI9" s="360">
        <v>180</v>
      </c>
      <c r="AL9" s="707"/>
      <c r="AM9" s="332">
        <v>-30</v>
      </c>
      <c r="AN9" s="332">
        <v>-20</v>
      </c>
      <c r="AO9" s="332">
        <v>-10</v>
      </c>
      <c r="AP9" s="332">
        <v>0</v>
      </c>
      <c r="AQ9" s="332">
        <v>10</v>
      </c>
      <c r="AR9" s="332">
        <v>20</v>
      </c>
      <c r="AS9" s="332">
        <v>30</v>
      </c>
      <c r="AT9" s="332">
        <v>40</v>
      </c>
      <c r="AU9" s="332">
        <v>50</v>
      </c>
      <c r="AV9" s="332">
        <v>60</v>
      </c>
      <c r="AW9" s="332">
        <v>70</v>
      </c>
      <c r="AX9" s="332">
        <v>80</v>
      </c>
      <c r="AY9" s="332">
        <v>90</v>
      </c>
      <c r="AZ9" s="332">
        <v>100</v>
      </c>
      <c r="BA9" s="332">
        <v>110</v>
      </c>
      <c r="BB9" s="332">
        <v>120</v>
      </c>
      <c r="BC9" s="332">
        <v>130</v>
      </c>
      <c r="BD9" s="332">
        <v>140</v>
      </c>
      <c r="BE9" s="332">
        <v>150</v>
      </c>
      <c r="BF9" s="332">
        <v>160</v>
      </c>
      <c r="BG9" s="332">
        <v>170</v>
      </c>
      <c r="BH9" s="360">
        <v>180</v>
      </c>
    </row>
    <row r="10" spans="2:60" x14ac:dyDescent="0.25">
      <c r="B10" s="717" t="s">
        <v>516</v>
      </c>
      <c r="C10" s="718"/>
      <c r="D10" s="354" t="s">
        <v>517</v>
      </c>
      <c r="E10" s="355">
        <f>N63</f>
        <v>25</v>
      </c>
      <c r="F10" s="356" t="s">
        <v>445</v>
      </c>
      <c r="G10" s="202">
        <f>P63</f>
        <v>87.3</v>
      </c>
      <c r="H10" s="340" t="str">
        <f t="shared" si="0"/>
        <v>PASS</v>
      </c>
      <c r="I10" s="202">
        <f>AO63</f>
        <v>99.1</v>
      </c>
      <c r="J10" s="341" t="str">
        <f t="shared" si="0"/>
        <v>PASS</v>
      </c>
      <c r="M10" s="363" t="s">
        <v>527</v>
      </c>
      <c r="N10" s="340">
        <v>-1.244</v>
      </c>
      <c r="O10" s="340">
        <v>-1.0569999999999999</v>
      </c>
      <c r="P10" s="340">
        <v>-0.64400000000000002</v>
      </c>
      <c r="Q10" s="340">
        <v>3.0000000000000001E-3</v>
      </c>
      <c r="R10" s="340">
        <v>0.68600000000000005</v>
      </c>
      <c r="S10" s="340">
        <v>1.117</v>
      </c>
      <c r="T10" s="340">
        <v>1.3</v>
      </c>
      <c r="U10" s="340">
        <v>1.3680000000000001</v>
      </c>
      <c r="V10" s="340">
        <v>1.387</v>
      </c>
      <c r="W10" s="340">
        <v>1.3779999999999999</v>
      </c>
      <c r="X10" s="340">
        <v>1.399</v>
      </c>
      <c r="Y10" s="340">
        <v>1.5289999999999999</v>
      </c>
      <c r="Z10" s="340">
        <v>1.5720000000000001</v>
      </c>
      <c r="AA10" s="340">
        <v>1.4179999999999999</v>
      </c>
      <c r="AB10" s="340">
        <v>1.0840000000000001</v>
      </c>
      <c r="AC10" s="340">
        <v>0.64500000000000002</v>
      </c>
      <c r="AD10" s="340">
        <v>0.28000000000000003</v>
      </c>
      <c r="AE10" s="340">
        <v>0.01</v>
      </c>
      <c r="AF10" s="340">
        <v>-0.127</v>
      </c>
      <c r="AG10" s="340">
        <v>-0.109</v>
      </c>
      <c r="AH10" s="340">
        <v>-9.2999999999999999E-2</v>
      </c>
      <c r="AI10" s="341">
        <v>-6.5000000000000002E-2</v>
      </c>
      <c r="AL10" s="363" t="s">
        <v>527</v>
      </c>
      <c r="AM10" s="340">
        <v>-4.7169999999999996</v>
      </c>
      <c r="AN10" s="340">
        <v>-4.0010000000000003</v>
      </c>
      <c r="AO10" s="340">
        <v>-2.0630000000000002</v>
      </c>
      <c r="AP10" s="340">
        <v>-3.0000000000000001E-3</v>
      </c>
      <c r="AQ10" s="340">
        <v>2.0569999999999999</v>
      </c>
      <c r="AR10" s="340">
        <v>4</v>
      </c>
      <c r="AS10" s="340">
        <v>4.718</v>
      </c>
      <c r="AT10" s="340">
        <v>4.4740000000000002</v>
      </c>
      <c r="AU10" s="340">
        <v>4.1219999999999999</v>
      </c>
      <c r="AV10" s="340">
        <v>3.698</v>
      </c>
      <c r="AW10" s="340">
        <v>3.323</v>
      </c>
      <c r="AX10" s="340">
        <v>3.5710000000000002</v>
      </c>
      <c r="AY10" s="340">
        <v>4.9790000000000001</v>
      </c>
      <c r="AZ10" s="340">
        <v>5.4059999999999997</v>
      </c>
      <c r="BA10" s="340">
        <v>5.0010000000000003</v>
      </c>
      <c r="BB10" s="340">
        <v>4.1230000000000002</v>
      </c>
      <c r="BC10" s="340">
        <v>3.0110000000000001</v>
      </c>
      <c r="BD10" s="340">
        <v>1.7669999999999999</v>
      </c>
      <c r="BE10" s="340">
        <v>0.51700000000000002</v>
      </c>
      <c r="BF10" s="340">
        <v>-0.59099999999999997</v>
      </c>
      <c r="BG10" s="340">
        <v>-1.1379999999999999</v>
      </c>
      <c r="BH10" s="341">
        <v>0</v>
      </c>
    </row>
    <row r="11" spans="2:60" ht="30" x14ac:dyDescent="0.25">
      <c r="B11" s="717" t="s">
        <v>518</v>
      </c>
      <c r="C11" s="718"/>
      <c r="D11" s="354" t="s">
        <v>517</v>
      </c>
      <c r="E11" s="355">
        <f>N67</f>
        <v>0.15</v>
      </c>
      <c r="F11" s="356" t="s">
        <v>71</v>
      </c>
      <c r="G11" s="202">
        <f>P67</f>
        <v>3.992</v>
      </c>
      <c r="H11" s="340" t="str">
        <f t="shared" si="0"/>
        <v>PASS</v>
      </c>
      <c r="I11" s="202">
        <f>AO67</f>
        <v>11.852</v>
      </c>
      <c r="J11" s="341" t="str">
        <f t="shared" si="0"/>
        <v>PASS</v>
      </c>
      <c r="M11" s="364" t="s">
        <v>528</v>
      </c>
      <c r="N11" s="202">
        <v>23.686499999999999</v>
      </c>
      <c r="O11" s="202">
        <v>12.0693</v>
      </c>
      <c r="P11" s="202">
        <v>3.3422999999999998</v>
      </c>
      <c r="Q11" s="202">
        <v>5.4999999999999997E-3</v>
      </c>
      <c r="R11" s="202">
        <v>3.5503</v>
      </c>
      <c r="S11" s="202">
        <v>12.8095</v>
      </c>
      <c r="T11" s="202">
        <v>25.042899999999999</v>
      </c>
      <c r="U11" s="202">
        <v>38.439399999999999</v>
      </c>
      <c r="V11" s="202">
        <v>52.246299999999998</v>
      </c>
      <c r="W11" s="202">
        <v>66.081599999999995</v>
      </c>
      <c r="X11" s="202">
        <v>79.879400000000004</v>
      </c>
      <c r="Y11" s="202">
        <v>94.489199999999997</v>
      </c>
      <c r="Z11" s="202">
        <v>110.134</v>
      </c>
      <c r="AA11" s="202">
        <v>125.24509999999999</v>
      </c>
      <c r="AB11" s="202">
        <v>137.8862</v>
      </c>
      <c r="AC11" s="202">
        <v>146.5342</v>
      </c>
      <c r="AD11" s="202">
        <v>151.07499999999999</v>
      </c>
      <c r="AE11" s="202">
        <v>152.44380000000001</v>
      </c>
      <c r="AF11" s="202">
        <v>151.71729999999999</v>
      </c>
      <c r="AG11" s="202">
        <v>150.4759</v>
      </c>
      <c r="AH11" s="202">
        <v>149.4804</v>
      </c>
      <c r="AI11" s="337">
        <v>148.6754</v>
      </c>
      <c r="AL11" s="364" t="s">
        <v>528</v>
      </c>
      <c r="AM11" s="202">
        <v>85.570800000000006</v>
      </c>
      <c r="AN11" s="202">
        <v>41.195099999999996</v>
      </c>
      <c r="AO11" s="202">
        <v>10.2127</v>
      </c>
      <c r="AP11" s="202">
        <v>-5.4999999999999997E-3</v>
      </c>
      <c r="AQ11" s="202">
        <v>10.169600000000001</v>
      </c>
      <c r="AR11" s="202">
        <v>41.0364</v>
      </c>
      <c r="AS11" s="202">
        <v>85.744399999999999</v>
      </c>
      <c r="AT11" s="202">
        <v>132.09229999999999</v>
      </c>
      <c r="AU11" s="202">
        <v>175.0737</v>
      </c>
      <c r="AV11" s="202">
        <v>214.2302</v>
      </c>
      <c r="AW11" s="202">
        <v>249.16229999999999</v>
      </c>
      <c r="AX11" s="202">
        <v>282.59640000000002</v>
      </c>
      <c r="AY11" s="202">
        <v>325.23750000000001</v>
      </c>
      <c r="AZ11" s="202">
        <v>378.19549999999998</v>
      </c>
      <c r="BA11" s="202">
        <v>430.71210000000002</v>
      </c>
      <c r="BB11" s="202">
        <v>476.61279999999999</v>
      </c>
      <c r="BC11" s="202">
        <v>512.42089999999996</v>
      </c>
      <c r="BD11" s="202">
        <v>536.37670000000003</v>
      </c>
      <c r="BE11" s="202">
        <v>547.73249999999996</v>
      </c>
      <c r="BF11" s="202">
        <v>547.22220000000004</v>
      </c>
      <c r="BG11" s="202">
        <v>537.47889999999995</v>
      </c>
      <c r="BH11" s="337">
        <v>530.76250000000005</v>
      </c>
    </row>
    <row r="12" spans="2:60" x14ac:dyDescent="0.25">
      <c r="B12" s="717" t="s">
        <v>520</v>
      </c>
      <c r="C12" s="718"/>
      <c r="D12" s="354" t="s">
        <v>524</v>
      </c>
      <c r="E12" s="355">
        <f>N75</f>
        <v>10</v>
      </c>
      <c r="F12" s="356" t="s">
        <v>445</v>
      </c>
      <c r="G12" s="202">
        <f>P75</f>
        <v>0</v>
      </c>
      <c r="H12" s="340" t="str">
        <f>IF(G12&lt;=$E12,"PASS","FAIL")</f>
        <v>PASS</v>
      </c>
      <c r="I12" s="202">
        <f>AO75</f>
        <v>0</v>
      </c>
      <c r="J12" s="341" t="str">
        <f>IF(I12&lt;=$E12,"PASS","FAIL")</f>
        <v>PASS</v>
      </c>
      <c r="M12" s="364" t="s">
        <v>529</v>
      </c>
      <c r="N12" s="202">
        <v>104009</v>
      </c>
      <c r="O12" s="202">
        <v>104010</v>
      </c>
      <c r="P12" s="202">
        <v>104009</v>
      </c>
      <c r="Q12" s="202">
        <v>104010</v>
      </c>
      <c r="R12" s="202">
        <v>104010</v>
      </c>
      <c r="S12" s="202">
        <v>104010</v>
      </c>
      <c r="T12" s="202">
        <v>104010</v>
      </c>
      <c r="U12" s="202">
        <v>104010</v>
      </c>
      <c r="V12" s="202">
        <v>104010</v>
      </c>
      <c r="W12" s="202">
        <v>104011</v>
      </c>
      <c r="X12" s="202">
        <v>104013</v>
      </c>
      <c r="Y12" s="202">
        <v>104006</v>
      </c>
      <c r="Z12" s="202">
        <v>104004</v>
      </c>
      <c r="AA12" s="202">
        <v>104011</v>
      </c>
      <c r="AB12" s="202">
        <v>104013</v>
      </c>
      <c r="AC12" s="202">
        <v>104016</v>
      </c>
      <c r="AD12" s="202">
        <v>104008</v>
      </c>
      <c r="AE12" s="202">
        <v>104014</v>
      </c>
      <c r="AF12" s="202">
        <v>104005</v>
      </c>
      <c r="AG12" s="202">
        <v>104013</v>
      </c>
      <c r="AH12" s="202">
        <v>104006</v>
      </c>
      <c r="AI12" s="337">
        <v>104005</v>
      </c>
      <c r="AL12" s="364" t="s">
        <v>529</v>
      </c>
      <c r="AM12" s="202">
        <v>136924</v>
      </c>
      <c r="AN12" s="202">
        <v>136924</v>
      </c>
      <c r="AO12" s="202">
        <v>136916</v>
      </c>
      <c r="AP12" s="202">
        <v>136923</v>
      </c>
      <c r="AQ12" s="202">
        <v>136923</v>
      </c>
      <c r="AR12" s="202">
        <v>136925</v>
      </c>
      <c r="AS12" s="202">
        <v>136929</v>
      </c>
      <c r="AT12" s="202">
        <v>136928</v>
      </c>
      <c r="AU12" s="202">
        <v>136923</v>
      </c>
      <c r="AV12" s="202">
        <v>136923</v>
      </c>
      <c r="AW12" s="202">
        <v>136924</v>
      </c>
      <c r="AX12" s="202">
        <v>136916</v>
      </c>
      <c r="AY12" s="202">
        <v>136929</v>
      </c>
      <c r="AZ12" s="202">
        <v>136924</v>
      </c>
      <c r="BA12" s="202">
        <v>136926</v>
      </c>
      <c r="BB12" s="202">
        <v>136924</v>
      </c>
      <c r="BC12" s="202">
        <v>136921</v>
      </c>
      <c r="BD12" s="202">
        <v>136920</v>
      </c>
      <c r="BE12" s="202">
        <v>136921</v>
      </c>
      <c r="BF12" s="202">
        <v>136926</v>
      </c>
      <c r="BG12" s="202">
        <v>136927</v>
      </c>
      <c r="BH12" s="337">
        <v>136936</v>
      </c>
    </row>
    <row r="13" spans="2:60" x14ac:dyDescent="0.25">
      <c r="B13" s="717" t="s">
        <v>521</v>
      </c>
      <c r="C13" s="718"/>
      <c r="D13" s="354" t="s">
        <v>524</v>
      </c>
      <c r="E13" s="355">
        <f>N86</f>
        <v>10</v>
      </c>
      <c r="F13" s="356" t="s">
        <v>445</v>
      </c>
      <c r="G13" s="202">
        <f>P86</f>
        <v>0</v>
      </c>
      <c r="H13" s="340" t="str">
        <f t="shared" ref="H13:J15" si="1">IF(G13&lt;=$E13,"PASS","FAIL")</f>
        <v>PASS</v>
      </c>
      <c r="I13" s="202">
        <f>AO86</f>
        <v>0</v>
      </c>
      <c r="J13" s="341" t="str">
        <f t="shared" si="1"/>
        <v>PASS</v>
      </c>
      <c r="M13" s="364" t="s">
        <v>530</v>
      </c>
      <c r="N13" s="202">
        <v>-1.593</v>
      </c>
      <c r="O13" s="202">
        <v>-0.91200000000000003</v>
      </c>
      <c r="P13" s="202">
        <v>-0.51900000000000002</v>
      </c>
      <c r="Q13" s="202">
        <v>-0.375</v>
      </c>
      <c r="R13" s="202">
        <v>-0.44900000000000001</v>
      </c>
      <c r="S13" s="202">
        <v>-0.77300000000000002</v>
      </c>
      <c r="T13" s="202">
        <v>-1.37</v>
      </c>
      <c r="U13" s="202">
        <v>-2.29</v>
      </c>
      <c r="V13" s="202">
        <v>-3.694</v>
      </c>
      <c r="W13" s="202">
        <v>-6.0780000000000003</v>
      </c>
      <c r="X13" s="202">
        <v>-11.189</v>
      </c>
      <c r="Y13" s="202">
        <v>-27.539000000000001</v>
      </c>
      <c r="Z13" s="202" t="s">
        <v>452</v>
      </c>
      <c r="AA13" s="202">
        <v>-47.244</v>
      </c>
      <c r="AB13" s="202">
        <v>-32.360999999999997</v>
      </c>
      <c r="AC13" s="202">
        <v>-30.219000000000001</v>
      </c>
      <c r="AD13" s="202">
        <v>-28.359000000000002</v>
      </c>
      <c r="AE13" s="202">
        <v>-26.562999999999999</v>
      </c>
      <c r="AF13" s="202">
        <v>-24.722000000000001</v>
      </c>
      <c r="AG13" s="202">
        <v>-23.221</v>
      </c>
      <c r="AH13" s="202">
        <v>-25.805</v>
      </c>
      <c r="AI13" s="337">
        <v>-24.221</v>
      </c>
      <c r="AL13" s="364" t="s">
        <v>530</v>
      </c>
      <c r="AM13" s="202">
        <v>2.0270000000000001</v>
      </c>
      <c r="AN13" s="202">
        <v>2.7839999999999998</v>
      </c>
      <c r="AO13" s="202">
        <v>3.02</v>
      </c>
      <c r="AP13" s="202">
        <v>3.0840000000000001</v>
      </c>
      <c r="AQ13" s="202">
        <v>3.02</v>
      </c>
      <c r="AR13" s="202">
        <v>2.786</v>
      </c>
      <c r="AS13" s="202">
        <v>2.0289999999999999</v>
      </c>
      <c r="AT13" s="202">
        <v>0.78500000000000003</v>
      </c>
      <c r="AU13" s="202">
        <v>-0.90300000000000002</v>
      </c>
      <c r="AV13" s="202">
        <v>-3.4969999999999999</v>
      </c>
      <c r="AW13" s="202">
        <v>-8.4149999999999991</v>
      </c>
      <c r="AX13" s="202">
        <v>-22.928000000000001</v>
      </c>
      <c r="AY13" s="202" t="s">
        <v>452</v>
      </c>
      <c r="AZ13" s="202">
        <v>-34.844999999999999</v>
      </c>
      <c r="BA13" s="202">
        <v>-20.814</v>
      </c>
      <c r="BB13" s="202">
        <v>-16.149999999999999</v>
      </c>
      <c r="BC13" s="202">
        <v>-13.936999999999999</v>
      </c>
      <c r="BD13" s="202">
        <v>-12.472</v>
      </c>
      <c r="BE13" s="202">
        <v>-11.489000000000001</v>
      </c>
      <c r="BF13" s="202">
        <v>-10.807</v>
      </c>
      <c r="BG13" s="202">
        <v>-10.398</v>
      </c>
      <c r="BH13" s="337">
        <v>-10.323</v>
      </c>
    </row>
    <row r="14" spans="2:60" x14ac:dyDescent="0.25">
      <c r="B14" s="712" t="s">
        <v>522</v>
      </c>
      <c r="C14" s="352" t="s">
        <v>523</v>
      </c>
      <c r="D14" s="354" t="s">
        <v>524</v>
      </c>
      <c r="E14" s="355">
        <f>N109</f>
        <v>16</v>
      </c>
      <c r="F14" s="356" t="s">
        <v>445</v>
      </c>
      <c r="G14" s="202">
        <f>P109</f>
        <v>5.5</v>
      </c>
      <c r="H14" s="340" t="str">
        <f t="shared" si="1"/>
        <v>PASS</v>
      </c>
      <c r="I14" s="202">
        <f>AO109</f>
        <v>1.8</v>
      </c>
      <c r="J14" s="341" t="str">
        <f t="shared" si="1"/>
        <v>PASS</v>
      </c>
      <c r="M14" s="364" t="s">
        <v>531</v>
      </c>
      <c r="N14" s="202">
        <v>2.1320000000000001</v>
      </c>
      <c r="O14" s="202">
        <v>2.0819999999999999</v>
      </c>
      <c r="P14" s="202">
        <v>2.0430000000000001</v>
      </c>
      <c r="Q14" s="202">
        <v>2.0089999999999999</v>
      </c>
      <c r="R14" s="202">
        <v>1.98</v>
      </c>
      <c r="S14" s="202">
        <v>1.9590000000000001</v>
      </c>
      <c r="T14" s="202">
        <v>1.946</v>
      </c>
      <c r="U14" s="202">
        <v>1.8939999999999999</v>
      </c>
      <c r="V14" s="202">
        <v>1.74</v>
      </c>
      <c r="W14" s="202">
        <v>1.4119999999999999</v>
      </c>
      <c r="X14" s="202">
        <v>0.76200000000000001</v>
      </c>
      <c r="Y14" s="202">
        <v>-1.1160000000000001</v>
      </c>
      <c r="Z14" s="202" t="s">
        <v>452</v>
      </c>
      <c r="AA14" s="202">
        <v>-2.1869999999999998</v>
      </c>
      <c r="AB14" s="202">
        <v>0.222</v>
      </c>
      <c r="AC14" s="202">
        <v>1.8959999999999999</v>
      </c>
      <c r="AD14" s="202">
        <v>2.278</v>
      </c>
      <c r="AE14" s="202">
        <v>2.1659999999999999</v>
      </c>
      <c r="AF14" s="202">
        <v>1.8109999999999999</v>
      </c>
      <c r="AG14" s="202">
        <v>1.3879999999999999</v>
      </c>
      <c r="AH14" s="202">
        <v>1.9430000000000001</v>
      </c>
      <c r="AI14" s="337">
        <v>1.536</v>
      </c>
      <c r="AL14" s="364" t="s">
        <v>531</v>
      </c>
      <c r="AM14" s="202">
        <v>2.0270000000000001</v>
      </c>
      <c r="AN14" s="202">
        <v>2.7839999999999998</v>
      </c>
      <c r="AO14" s="202">
        <v>3.02</v>
      </c>
      <c r="AP14" s="202">
        <v>3.0840000000000001</v>
      </c>
      <c r="AQ14" s="202">
        <v>3.02</v>
      </c>
      <c r="AR14" s="202">
        <v>2.786</v>
      </c>
      <c r="AS14" s="202">
        <v>2.0289999999999999</v>
      </c>
      <c r="AT14" s="202">
        <v>0.78500000000000003</v>
      </c>
      <c r="AU14" s="202">
        <v>-0.90300000000000002</v>
      </c>
      <c r="AV14" s="202">
        <v>-3.4969999999999999</v>
      </c>
      <c r="AW14" s="202">
        <v>-8.4149999999999991</v>
      </c>
      <c r="AX14" s="202">
        <v>-22.928000000000001</v>
      </c>
      <c r="AY14" s="202" t="s">
        <v>452</v>
      </c>
      <c r="AZ14" s="202">
        <v>-34.844999999999999</v>
      </c>
      <c r="BA14" s="202">
        <v>-20.814</v>
      </c>
      <c r="BB14" s="202">
        <v>-16.149999999999999</v>
      </c>
      <c r="BC14" s="202">
        <v>-13.936999999999999</v>
      </c>
      <c r="BD14" s="202">
        <v>-12.472</v>
      </c>
      <c r="BE14" s="202">
        <v>-11.489000000000001</v>
      </c>
      <c r="BF14" s="202">
        <v>-10.807</v>
      </c>
      <c r="BG14" s="202">
        <v>-10.398</v>
      </c>
      <c r="BH14" s="337">
        <v>-10.323</v>
      </c>
    </row>
    <row r="15" spans="2:60" ht="45" x14ac:dyDescent="0.25">
      <c r="B15" s="712"/>
      <c r="C15" s="351" t="s">
        <v>525</v>
      </c>
      <c r="D15" s="354" t="s">
        <v>524</v>
      </c>
      <c r="E15" s="355">
        <f t="shared" ref="E15:E16" si="2">N110</f>
        <v>80</v>
      </c>
      <c r="F15" s="356" t="s">
        <v>475</v>
      </c>
      <c r="G15" s="202">
        <f>P110</f>
        <v>51.85</v>
      </c>
      <c r="H15" s="340" t="str">
        <f t="shared" si="1"/>
        <v>PASS</v>
      </c>
      <c r="I15" s="202">
        <f t="shared" ref="I15:I16" si="3">AO110</f>
        <v>18.079999999999998</v>
      </c>
      <c r="J15" s="341" t="str">
        <f t="shared" si="1"/>
        <v>PASS</v>
      </c>
      <c r="M15" s="364" t="s">
        <v>532</v>
      </c>
      <c r="N15" s="202">
        <v>19.945</v>
      </c>
      <c r="O15" s="202">
        <v>20.32</v>
      </c>
      <c r="P15" s="202">
        <v>20.658000000000001</v>
      </c>
      <c r="Q15" s="202">
        <v>21.454999999999998</v>
      </c>
      <c r="R15" s="202">
        <v>20.933</v>
      </c>
      <c r="S15" s="202">
        <v>20.681000000000001</v>
      </c>
      <c r="T15" s="202">
        <v>20.366</v>
      </c>
      <c r="U15" s="202">
        <v>20.123999999999999</v>
      </c>
      <c r="V15" s="202">
        <v>20.038</v>
      </c>
      <c r="W15" s="202">
        <v>19.672999999999998</v>
      </c>
      <c r="X15" s="202">
        <v>18.867999999999999</v>
      </c>
      <c r="Y15" s="202">
        <v>17.452000000000002</v>
      </c>
      <c r="Z15" s="202">
        <v>15.284000000000001</v>
      </c>
      <c r="AA15" s="202">
        <v>16.036000000000001</v>
      </c>
      <c r="AB15" s="202">
        <v>15.907</v>
      </c>
      <c r="AC15" s="202">
        <v>15.504</v>
      </c>
      <c r="AD15" s="202">
        <v>15.587999999999999</v>
      </c>
      <c r="AE15" s="202">
        <v>15.417999999999999</v>
      </c>
      <c r="AF15" s="202">
        <v>14.436</v>
      </c>
      <c r="AG15" s="202">
        <v>13.343999999999999</v>
      </c>
      <c r="AH15" s="202">
        <v>11.196999999999999</v>
      </c>
      <c r="AI15" s="337">
        <v>10.532999999999999</v>
      </c>
      <c r="AL15" s="364" t="s">
        <v>532</v>
      </c>
      <c r="AM15" s="202">
        <v>24.210999999999999</v>
      </c>
      <c r="AN15" s="202">
        <v>24.125</v>
      </c>
      <c r="AO15" s="202">
        <v>23.858000000000001</v>
      </c>
      <c r="AP15" s="202">
        <v>23.486000000000001</v>
      </c>
      <c r="AQ15" s="202">
        <v>23.858000000000001</v>
      </c>
      <c r="AR15" s="202">
        <v>24.125</v>
      </c>
      <c r="AS15" s="202">
        <v>24.212</v>
      </c>
      <c r="AT15" s="202">
        <v>24.201000000000001</v>
      </c>
      <c r="AU15" s="202">
        <v>24.18</v>
      </c>
      <c r="AV15" s="202">
        <v>24.145</v>
      </c>
      <c r="AW15" s="202">
        <v>24.06</v>
      </c>
      <c r="AX15" s="202">
        <v>23.622</v>
      </c>
      <c r="AY15" s="202">
        <v>21.87</v>
      </c>
      <c r="AZ15" s="202">
        <v>21.431999999999999</v>
      </c>
      <c r="BA15" s="202">
        <v>20.55</v>
      </c>
      <c r="BB15" s="202">
        <v>20.55</v>
      </c>
      <c r="BC15" s="202">
        <v>17.87</v>
      </c>
      <c r="BD15" s="202">
        <v>17.87</v>
      </c>
      <c r="BE15" s="202">
        <v>17.87</v>
      </c>
      <c r="BF15" s="202">
        <v>17.87</v>
      </c>
      <c r="BG15" s="202">
        <v>17.87</v>
      </c>
      <c r="BH15" s="337">
        <v>17.587</v>
      </c>
    </row>
    <row r="16" spans="2:60" ht="15.75" thickBot="1" x14ac:dyDescent="0.3">
      <c r="B16" s="713"/>
      <c r="C16" s="353" t="s">
        <v>526</v>
      </c>
      <c r="D16" s="357" t="s">
        <v>517</v>
      </c>
      <c r="E16" s="460">
        <f t="shared" si="2"/>
        <v>100</v>
      </c>
      <c r="F16" s="461" t="s">
        <v>475</v>
      </c>
      <c r="G16" s="385">
        <f>P111</f>
        <v>97.69</v>
      </c>
      <c r="H16" s="386" t="str">
        <f>IF(G16&gt;=$E16,"PASS","FAIL")</f>
        <v>FAIL</v>
      </c>
      <c r="I16" s="338">
        <f t="shared" si="3"/>
        <v>218.15</v>
      </c>
      <c r="J16" s="384" t="str">
        <f>IF(I16&gt;=$E16,"PASS","FAIL")</f>
        <v>PASS</v>
      </c>
      <c r="M16" s="364" t="s">
        <v>533</v>
      </c>
      <c r="N16" s="202">
        <v>6.5869999999999997</v>
      </c>
      <c r="O16" s="202">
        <v>6.8689999999999998</v>
      </c>
      <c r="P16" s="202">
        <v>7.6870000000000003</v>
      </c>
      <c r="Q16" s="202">
        <v>7.57</v>
      </c>
      <c r="R16" s="202">
        <v>7.6870000000000003</v>
      </c>
      <c r="S16" s="202">
        <v>6.7629999999999999</v>
      </c>
      <c r="T16" s="202">
        <v>6.4429999999999996</v>
      </c>
      <c r="U16" s="202">
        <v>6.4020000000000001</v>
      </c>
      <c r="V16" s="202">
        <v>6.6660000000000004</v>
      </c>
      <c r="W16" s="202">
        <v>6.5679999999999996</v>
      </c>
      <c r="X16" s="202">
        <v>7.9710000000000001</v>
      </c>
      <c r="Y16" s="202">
        <v>7.6269999999999998</v>
      </c>
      <c r="Z16" s="202">
        <v>7.3739999999999997</v>
      </c>
      <c r="AA16" s="202">
        <v>7.3159999999999998</v>
      </c>
      <c r="AB16" s="202">
        <v>7.4580000000000002</v>
      </c>
      <c r="AC16" s="202">
        <v>7.5090000000000003</v>
      </c>
      <c r="AD16" s="202">
        <v>6.899</v>
      </c>
      <c r="AE16" s="202">
        <v>6.8860000000000001</v>
      </c>
      <c r="AF16" s="202">
        <v>7.7590000000000003</v>
      </c>
      <c r="AG16" s="202">
        <v>8.0559999999999992</v>
      </c>
      <c r="AH16" s="202">
        <v>7.6870000000000003</v>
      </c>
      <c r="AI16" s="337">
        <v>7.57</v>
      </c>
      <c r="AL16" s="364" t="s">
        <v>533</v>
      </c>
      <c r="AM16" s="202">
        <v>6.2889999999999997</v>
      </c>
      <c r="AN16" s="202">
        <v>11.917</v>
      </c>
      <c r="AO16" s="202">
        <v>11.583</v>
      </c>
      <c r="AP16" s="202">
        <v>11.46</v>
      </c>
      <c r="AQ16" s="202">
        <v>11.583</v>
      </c>
      <c r="AR16" s="202">
        <v>11.917</v>
      </c>
      <c r="AS16" s="202">
        <v>6.29</v>
      </c>
      <c r="AT16" s="202">
        <v>6.2610000000000001</v>
      </c>
      <c r="AU16" s="202">
        <v>6.2</v>
      </c>
      <c r="AV16" s="202">
        <v>6.24</v>
      </c>
      <c r="AW16" s="202">
        <v>6.9050000000000002</v>
      </c>
      <c r="AX16" s="202">
        <v>10.622999999999999</v>
      </c>
      <c r="AY16" s="202">
        <v>10.645</v>
      </c>
      <c r="AZ16" s="202">
        <v>8.4909999999999997</v>
      </c>
      <c r="BA16" s="202">
        <v>6.9989999999999997</v>
      </c>
      <c r="BB16" s="202">
        <v>6.2869999999999999</v>
      </c>
      <c r="BC16" s="202">
        <v>5.7960000000000003</v>
      </c>
      <c r="BD16" s="202">
        <v>5.827</v>
      </c>
      <c r="BE16" s="202">
        <v>6.2519999999999998</v>
      </c>
      <c r="BF16" s="202">
        <v>7.3140000000000001</v>
      </c>
      <c r="BG16" s="202">
        <v>10.144</v>
      </c>
      <c r="BH16" s="337">
        <v>12.247999999999999</v>
      </c>
    </row>
    <row r="17" spans="12:60" x14ac:dyDescent="0.25">
      <c r="M17" s="364" t="s">
        <v>534</v>
      </c>
      <c r="N17" s="202">
        <v>131.82</v>
      </c>
      <c r="O17" s="202">
        <v>137.93799999999999</v>
      </c>
      <c r="P17" s="202">
        <v>144.86500000000001</v>
      </c>
      <c r="Q17" s="202">
        <v>154.553</v>
      </c>
      <c r="R17" s="202">
        <v>154.471</v>
      </c>
      <c r="S17" s="202">
        <v>145.67699999999999</v>
      </c>
      <c r="T17" s="202">
        <v>139.613</v>
      </c>
      <c r="U17" s="202">
        <v>135.745</v>
      </c>
      <c r="V17" s="202">
        <v>133.68100000000001</v>
      </c>
      <c r="W17" s="202">
        <v>132.98099999999999</v>
      </c>
      <c r="X17" s="202">
        <v>135.744</v>
      </c>
      <c r="Y17" s="202">
        <v>134.774</v>
      </c>
      <c r="Z17" s="202">
        <v>133.352</v>
      </c>
      <c r="AA17" s="202">
        <v>127.023</v>
      </c>
      <c r="AB17" s="202">
        <v>124.042</v>
      </c>
      <c r="AC17" s="202">
        <v>119.586</v>
      </c>
      <c r="AD17" s="202">
        <v>120.398</v>
      </c>
      <c r="AE17" s="202">
        <v>121.93</v>
      </c>
      <c r="AF17" s="202">
        <v>123.501</v>
      </c>
      <c r="AG17" s="202">
        <v>124.667</v>
      </c>
      <c r="AH17" s="202">
        <v>133.726</v>
      </c>
      <c r="AI17" s="337">
        <v>130.93899999999999</v>
      </c>
      <c r="AL17" s="364" t="s">
        <v>534</v>
      </c>
      <c r="AM17" s="202">
        <v>207.57599999999999</v>
      </c>
      <c r="AN17" s="202">
        <v>238.07400000000001</v>
      </c>
      <c r="AO17" s="202">
        <v>256.78500000000003</v>
      </c>
      <c r="AP17" s="202">
        <v>260.20299999999997</v>
      </c>
      <c r="AQ17" s="202">
        <v>259.63200000000001</v>
      </c>
      <c r="AR17" s="202">
        <v>239.45699999999999</v>
      </c>
      <c r="AS17" s="202">
        <v>208.929</v>
      </c>
      <c r="AT17" s="202">
        <v>209.76900000000001</v>
      </c>
      <c r="AU17" s="202">
        <v>210.78899999999999</v>
      </c>
      <c r="AV17" s="202">
        <v>211.91499999999999</v>
      </c>
      <c r="AW17" s="202">
        <v>215.351</v>
      </c>
      <c r="AX17" s="202">
        <v>229.01400000000001</v>
      </c>
      <c r="AY17" s="202">
        <v>206.364</v>
      </c>
      <c r="AZ17" s="202">
        <v>170.65299999999999</v>
      </c>
      <c r="BA17" s="202">
        <v>155.78800000000001</v>
      </c>
      <c r="BB17" s="202">
        <v>145.102</v>
      </c>
      <c r="BC17" s="202">
        <v>151.72800000000001</v>
      </c>
      <c r="BD17" s="202">
        <v>150.64599999999999</v>
      </c>
      <c r="BE17" s="202">
        <v>154.11799999999999</v>
      </c>
      <c r="BF17" s="202">
        <v>165.01599999999999</v>
      </c>
      <c r="BG17" s="202">
        <v>197.965</v>
      </c>
      <c r="BH17" s="337">
        <v>217.20500000000001</v>
      </c>
    </row>
    <row r="18" spans="12:60" x14ac:dyDescent="0.25">
      <c r="M18" s="364" t="s">
        <v>535</v>
      </c>
      <c r="N18" s="202">
        <v>89.355999999999995</v>
      </c>
      <c r="O18" s="202">
        <v>102.128</v>
      </c>
      <c r="P18" s="202">
        <v>118.248</v>
      </c>
      <c r="Q18" s="202">
        <v>126.556</v>
      </c>
      <c r="R18" s="202">
        <v>122.996</v>
      </c>
      <c r="S18" s="202">
        <v>105.982</v>
      </c>
      <c r="T18" s="202">
        <v>92.040999999999997</v>
      </c>
      <c r="U18" s="202">
        <v>84.926000000000002</v>
      </c>
      <c r="V18" s="202">
        <v>82.141999999999996</v>
      </c>
      <c r="W18" s="202">
        <v>79.930999999999997</v>
      </c>
      <c r="X18" s="202">
        <v>83.281999999999996</v>
      </c>
      <c r="Y18" s="202">
        <v>82.111000000000004</v>
      </c>
      <c r="Z18" s="202">
        <v>77.897999999999996</v>
      </c>
      <c r="AA18" s="202">
        <v>64.795000000000002</v>
      </c>
      <c r="AB18" s="202">
        <v>51.533000000000001</v>
      </c>
      <c r="AC18" s="202">
        <v>39.619</v>
      </c>
      <c r="AD18" s="202">
        <v>28.765999999999998</v>
      </c>
      <c r="AE18" s="202">
        <v>21.291</v>
      </c>
      <c r="AF18" s="202">
        <v>17.204999999999998</v>
      </c>
      <c r="AG18" s="202">
        <v>14.619</v>
      </c>
      <c r="AH18" s="202">
        <v>13.509</v>
      </c>
      <c r="AI18" s="337">
        <v>13.717000000000001</v>
      </c>
      <c r="AL18" s="364" t="s">
        <v>535</v>
      </c>
      <c r="AM18" s="202">
        <v>52.238999999999997</v>
      </c>
      <c r="AN18" s="202">
        <v>66.701999999999998</v>
      </c>
      <c r="AO18" s="202">
        <v>70.722999999999999</v>
      </c>
      <c r="AP18" s="202">
        <v>71.203999999999994</v>
      </c>
      <c r="AQ18" s="202">
        <v>70.765000000000001</v>
      </c>
      <c r="AR18" s="202">
        <v>66.727999999999994</v>
      </c>
      <c r="AS18" s="202">
        <v>52.250999999999998</v>
      </c>
      <c r="AT18" s="202">
        <v>59.27</v>
      </c>
      <c r="AU18" s="202">
        <v>69.177999999999997</v>
      </c>
      <c r="AV18" s="202">
        <v>84.908000000000001</v>
      </c>
      <c r="AW18" s="202">
        <v>115.027</v>
      </c>
      <c r="AX18" s="202">
        <v>180.51599999999999</v>
      </c>
      <c r="AY18" s="202">
        <v>182.02099999999999</v>
      </c>
      <c r="AZ18" s="202">
        <v>136.98599999999999</v>
      </c>
      <c r="BA18" s="202">
        <v>114.845</v>
      </c>
      <c r="BB18" s="202">
        <v>101.087</v>
      </c>
      <c r="BC18" s="202">
        <v>97.257000000000005</v>
      </c>
      <c r="BD18" s="202">
        <v>96.043999999999997</v>
      </c>
      <c r="BE18" s="202">
        <v>101.17100000000001</v>
      </c>
      <c r="BF18" s="202">
        <v>115.857</v>
      </c>
      <c r="BG18" s="202">
        <v>155.86699999999999</v>
      </c>
      <c r="BH18" s="337">
        <v>176.47499999999999</v>
      </c>
    </row>
    <row r="19" spans="12:60" x14ac:dyDescent="0.25">
      <c r="M19" s="364" t="s">
        <v>120</v>
      </c>
      <c r="N19" s="202">
        <v>0.53900000000000003</v>
      </c>
      <c r="O19" s="202">
        <v>0.52700000000000002</v>
      </c>
      <c r="P19" s="202">
        <v>0.51600000000000001</v>
      </c>
      <c r="Q19" s="202">
        <v>0.503</v>
      </c>
      <c r="R19" s="202">
        <v>0.53</v>
      </c>
      <c r="S19" s="202">
        <v>0.54800000000000004</v>
      </c>
      <c r="T19" s="202">
        <v>0.56299999999999994</v>
      </c>
      <c r="U19" s="202">
        <v>0.54300000000000004</v>
      </c>
      <c r="V19" s="202">
        <v>0.51400000000000001</v>
      </c>
      <c r="W19" s="202">
        <v>0.501</v>
      </c>
      <c r="X19" s="202">
        <v>0.51800000000000002</v>
      </c>
      <c r="Y19" s="202">
        <v>0.55200000000000005</v>
      </c>
      <c r="Z19" s="202">
        <v>0.57599999999999996</v>
      </c>
      <c r="AA19" s="202">
        <v>0.51500000000000001</v>
      </c>
      <c r="AB19" s="202">
        <v>0.5</v>
      </c>
      <c r="AC19" s="202">
        <v>0.505</v>
      </c>
      <c r="AD19" s="202">
        <v>0.48</v>
      </c>
      <c r="AE19" s="202">
        <v>0.48599999999999999</v>
      </c>
      <c r="AF19" s="202">
        <v>0.53900000000000003</v>
      </c>
      <c r="AG19" s="202">
        <v>0.59299999999999997</v>
      </c>
      <c r="AH19" s="202">
        <v>0.68200000000000005</v>
      </c>
      <c r="AI19" s="337">
        <v>0.77100000000000002</v>
      </c>
      <c r="AL19" s="364" t="s">
        <v>120</v>
      </c>
      <c r="AM19" s="202">
        <v>0.65700000000000003</v>
      </c>
      <c r="AN19" s="202">
        <v>0.64</v>
      </c>
      <c r="AO19" s="202">
        <v>0.63400000000000001</v>
      </c>
      <c r="AP19" s="202">
        <v>0.64</v>
      </c>
      <c r="AQ19" s="202">
        <v>0.63400000000000001</v>
      </c>
      <c r="AR19" s="202">
        <v>0.64</v>
      </c>
      <c r="AS19" s="202">
        <v>0.65700000000000003</v>
      </c>
      <c r="AT19" s="202">
        <v>0.65600000000000003</v>
      </c>
      <c r="AU19" s="202">
        <v>0.65400000000000003</v>
      </c>
      <c r="AV19" s="202">
        <v>0.65100000000000002</v>
      </c>
      <c r="AW19" s="202">
        <v>0.64200000000000002</v>
      </c>
      <c r="AX19" s="202">
        <v>0.621</v>
      </c>
      <c r="AY19" s="202">
        <v>0.64800000000000002</v>
      </c>
      <c r="AZ19" s="202">
        <v>0.67100000000000004</v>
      </c>
      <c r="BA19" s="202">
        <v>0.72599999999999998</v>
      </c>
      <c r="BB19" s="202">
        <v>0.73599999999999999</v>
      </c>
      <c r="BC19" s="202">
        <v>0.90400000000000003</v>
      </c>
      <c r="BD19" s="202">
        <v>0.89400000000000002</v>
      </c>
      <c r="BE19" s="202">
        <v>0.88300000000000001</v>
      </c>
      <c r="BF19" s="202">
        <v>0.87</v>
      </c>
      <c r="BG19" s="202">
        <v>0.85</v>
      </c>
      <c r="BH19" s="337">
        <v>0.82</v>
      </c>
    </row>
    <row r="20" spans="12:60" x14ac:dyDescent="0.25">
      <c r="M20" s="364" t="s">
        <v>121</v>
      </c>
      <c r="N20" s="202">
        <v>0.29899999999999999</v>
      </c>
      <c r="O20" s="202">
        <v>0.35699999999999998</v>
      </c>
      <c r="P20" s="202">
        <v>0.39</v>
      </c>
      <c r="Q20" s="202">
        <v>0.40899999999999997</v>
      </c>
      <c r="R20" s="202">
        <v>0.39600000000000002</v>
      </c>
      <c r="S20" s="202">
        <v>0.36299999999999999</v>
      </c>
      <c r="T20" s="202">
        <v>0.30599999999999999</v>
      </c>
      <c r="U20" s="202">
        <v>0.26800000000000002</v>
      </c>
      <c r="V20" s="202">
        <v>0.23599999999999999</v>
      </c>
      <c r="W20" s="202">
        <v>0.23400000000000001</v>
      </c>
      <c r="X20" s="202">
        <v>0.2</v>
      </c>
      <c r="Y20" s="202">
        <v>0.23300000000000001</v>
      </c>
      <c r="Z20" s="202">
        <v>0.27700000000000002</v>
      </c>
      <c r="AA20" s="202">
        <v>0.23599999999999999</v>
      </c>
      <c r="AB20" s="202">
        <v>0.20399999999999999</v>
      </c>
      <c r="AC20" s="202">
        <v>0.183</v>
      </c>
      <c r="AD20" s="202">
        <v>0.193</v>
      </c>
      <c r="AE20" s="202">
        <v>0.20100000000000001</v>
      </c>
      <c r="AF20" s="202">
        <v>0.20599999999999999</v>
      </c>
      <c r="AG20" s="202">
        <v>0.24399999999999999</v>
      </c>
      <c r="AH20" s="202">
        <v>0.32300000000000001</v>
      </c>
      <c r="AI20" s="337">
        <v>0.41899999999999998</v>
      </c>
      <c r="AL20" s="364" t="s">
        <v>121</v>
      </c>
      <c r="AM20" s="202">
        <v>0.45</v>
      </c>
      <c r="AN20" s="202">
        <v>0.32100000000000001</v>
      </c>
      <c r="AO20" s="202">
        <v>0.34399999999999997</v>
      </c>
      <c r="AP20" s="202">
        <v>0.42599999999999999</v>
      </c>
      <c r="AQ20" s="202">
        <v>0.34399999999999997</v>
      </c>
      <c r="AR20" s="202">
        <v>0.32100000000000001</v>
      </c>
      <c r="AS20" s="202">
        <v>0.44900000000000001</v>
      </c>
      <c r="AT20" s="202">
        <v>0.45100000000000001</v>
      </c>
      <c r="AU20" s="202">
        <v>0.45700000000000002</v>
      </c>
      <c r="AV20" s="202">
        <v>0.46300000000000002</v>
      </c>
      <c r="AW20" s="202">
        <v>0.46700000000000003</v>
      </c>
      <c r="AX20" s="202">
        <v>0.47299999999999998</v>
      </c>
      <c r="AY20" s="202">
        <v>0.51600000000000001</v>
      </c>
      <c r="AZ20" s="202">
        <v>0.38600000000000001</v>
      </c>
      <c r="BA20" s="202">
        <v>0.38300000000000001</v>
      </c>
      <c r="BB20" s="202">
        <v>0.373</v>
      </c>
      <c r="BC20" s="202">
        <v>0.45200000000000001</v>
      </c>
      <c r="BD20" s="202">
        <v>0.44700000000000001</v>
      </c>
      <c r="BE20" s="202">
        <v>0.442</v>
      </c>
      <c r="BF20" s="202">
        <v>0.435</v>
      </c>
      <c r="BG20" s="202">
        <v>0.42499999999999999</v>
      </c>
      <c r="BH20" s="337">
        <v>0.82</v>
      </c>
    </row>
    <row r="21" spans="12:60" x14ac:dyDescent="0.25">
      <c r="M21" s="364" t="s">
        <v>536</v>
      </c>
      <c r="N21" s="202">
        <v>7.49</v>
      </c>
      <c r="O21" s="202">
        <v>7.5350000000000001</v>
      </c>
      <c r="P21" s="202">
        <v>7.5609999999999999</v>
      </c>
      <c r="Q21" s="202">
        <v>7.5720000000000001</v>
      </c>
      <c r="R21" s="202">
        <v>7.5670000000000002</v>
      </c>
      <c r="S21" s="202">
        <v>7.5439999999999996</v>
      </c>
      <c r="T21" s="202">
        <v>7.508</v>
      </c>
      <c r="U21" s="202">
        <v>7.4619999999999997</v>
      </c>
      <c r="V21" s="202">
        <v>7.4119999999999999</v>
      </c>
      <c r="W21" s="202">
        <v>7.3639999999999999</v>
      </c>
      <c r="X21" s="202">
        <v>7.3010000000000002</v>
      </c>
      <c r="Y21" s="202">
        <v>7.2119999999999997</v>
      </c>
      <c r="Z21" s="202">
        <v>7.0579999999999998</v>
      </c>
      <c r="AA21" s="202">
        <v>6.7729999999999997</v>
      </c>
      <c r="AB21" s="202">
        <v>6.3650000000000002</v>
      </c>
      <c r="AC21" s="202">
        <v>5.8579999999999997</v>
      </c>
      <c r="AD21" s="202">
        <v>5.5439999999999996</v>
      </c>
      <c r="AE21" s="202">
        <v>5.383</v>
      </c>
      <c r="AF21" s="202">
        <v>5.3310000000000004</v>
      </c>
      <c r="AG21" s="202">
        <v>5.3360000000000003</v>
      </c>
      <c r="AH21" s="202">
        <v>5.0599999999999996</v>
      </c>
      <c r="AI21" s="337">
        <v>5.141</v>
      </c>
      <c r="AL21" s="364" t="s">
        <v>536</v>
      </c>
      <c r="AM21" s="202">
        <v>9.8849999999999998</v>
      </c>
      <c r="AN21" s="202">
        <v>9.85</v>
      </c>
      <c r="AO21" s="202">
        <v>9.7279999999999998</v>
      </c>
      <c r="AP21" s="202">
        <v>9.6859999999999999</v>
      </c>
      <c r="AQ21" s="202">
        <v>9.7270000000000003</v>
      </c>
      <c r="AR21" s="202">
        <v>9.8550000000000004</v>
      </c>
      <c r="AS21" s="202">
        <v>9.891</v>
      </c>
      <c r="AT21" s="202">
        <v>9.8759999999999994</v>
      </c>
      <c r="AU21" s="202">
        <v>9.859</v>
      </c>
      <c r="AV21" s="202">
        <v>9.86</v>
      </c>
      <c r="AW21" s="202">
        <v>9.875</v>
      </c>
      <c r="AX21" s="202">
        <v>9.8350000000000009</v>
      </c>
      <c r="AY21" s="202">
        <v>10.013</v>
      </c>
      <c r="AZ21" s="202">
        <v>10.561</v>
      </c>
      <c r="BA21" s="202">
        <v>11.15</v>
      </c>
      <c r="BB21" s="202">
        <v>11.321999999999999</v>
      </c>
      <c r="BC21" s="202">
        <v>10.904</v>
      </c>
      <c r="BD21" s="202">
        <v>11.106</v>
      </c>
      <c r="BE21" s="202">
        <v>11.263</v>
      </c>
      <c r="BF21" s="202">
        <v>11.397</v>
      </c>
      <c r="BG21" s="202">
        <v>11.523</v>
      </c>
      <c r="BH21" s="337">
        <v>11.595000000000001</v>
      </c>
    </row>
    <row r="22" spans="12:60" x14ac:dyDescent="0.25">
      <c r="L22" s="379"/>
      <c r="M22" s="364" t="s">
        <v>537</v>
      </c>
      <c r="N22" s="202">
        <v>9.4350000000000005</v>
      </c>
      <c r="O22" s="202">
        <v>9.5860000000000003</v>
      </c>
      <c r="P22" s="202">
        <v>9.4169999999999998</v>
      </c>
      <c r="Q22" s="202">
        <v>9.4350000000000005</v>
      </c>
      <c r="R22" s="202">
        <v>9.2349999999999994</v>
      </c>
      <c r="S22" s="202">
        <v>9.5730000000000004</v>
      </c>
      <c r="T22" s="202">
        <v>9.5079999999999991</v>
      </c>
      <c r="U22" s="202">
        <v>9.3930000000000007</v>
      </c>
      <c r="V22" s="202">
        <v>9.2439999999999998</v>
      </c>
      <c r="W22" s="202">
        <v>9.19</v>
      </c>
      <c r="X22" s="202">
        <v>9.1069999999999993</v>
      </c>
      <c r="Y22" s="202">
        <v>8.89</v>
      </c>
      <c r="Z22" s="202">
        <v>8.5410000000000004</v>
      </c>
      <c r="AA22" s="202">
        <v>7.5449999999999999</v>
      </c>
      <c r="AB22" s="202">
        <v>6.5110000000000001</v>
      </c>
      <c r="AC22" s="202">
        <v>5.58</v>
      </c>
      <c r="AD22" s="202">
        <v>4.8890000000000002</v>
      </c>
      <c r="AE22" s="202">
        <v>4.4059999999999997</v>
      </c>
      <c r="AF22" s="202">
        <v>4.0209999999999999</v>
      </c>
      <c r="AG22" s="202">
        <v>3.6190000000000002</v>
      </c>
      <c r="AH22" s="202">
        <v>4.093</v>
      </c>
      <c r="AI22" s="337">
        <v>3.8290000000000002</v>
      </c>
      <c r="AK22" s="379"/>
      <c r="AL22" s="364" t="s">
        <v>537</v>
      </c>
      <c r="AM22" s="202">
        <v>10.282999999999999</v>
      </c>
      <c r="AN22" s="202">
        <v>9.9960000000000004</v>
      </c>
      <c r="AO22" s="202">
        <v>9.93</v>
      </c>
      <c r="AP22" s="202">
        <v>9.9139999999999997</v>
      </c>
      <c r="AQ22" s="202">
        <v>9.9239999999999995</v>
      </c>
      <c r="AR22" s="202">
        <v>9.9960000000000004</v>
      </c>
      <c r="AS22" s="202">
        <v>10.282999999999999</v>
      </c>
      <c r="AT22" s="202">
        <v>10.27</v>
      </c>
      <c r="AU22" s="202">
        <v>10.398</v>
      </c>
      <c r="AV22" s="202">
        <v>10.574</v>
      </c>
      <c r="AW22" s="202">
        <v>10.754</v>
      </c>
      <c r="AX22" s="202">
        <v>11.081</v>
      </c>
      <c r="AY22" s="202">
        <v>11.022</v>
      </c>
      <c r="AZ22" s="202">
        <v>10.824999999999999</v>
      </c>
      <c r="BA22" s="202">
        <v>11.446</v>
      </c>
      <c r="BB22" s="202">
        <v>11.587</v>
      </c>
      <c r="BC22" s="202">
        <v>11.134</v>
      </c>
      <c r="BD22" s="202">
        <v>11.282999999999999</v>
      </c>
      <c r="BE22" s="202">
        <v>11.397</v>
      </c>
      <c r="BF22" s="202">
        <v>11.492000000000001</v>
      </c>
      <c r="BG22" s="202">
        <v>11.577</v>
      </c>
      <c r="BH22" s="337">
        <v>11.586</v>
      </c>
    </row>
    <row r="23" spans="12:60" x14ac:dyDescent="0.25">
      <c r="M23" s="364" t="s">
        <v>538</v>
      </c>
      <c r="N23" s="202">
        <v>30.7103</v>
      </c>
      <c r="O23" s="202">
        <v>20.851099999999999</v>
      </c>
      <c r="P23" s="202">
        <v>11.3544</v>
      </c>
      <c r="Q23" s="202">
        <v>5.109</v>
      </c>
      <c r="R23" s="202">
        <v>11.225899999999999</v>
      </c>
      <c r="S23" s="202">
        <v>20.712199999999999</v>
      </c>
      <c r="T23" s="202">
        <v>30.5656</v>
      </c>
      <c r="U23" s="202">
        <v>40.485399999999998</v>
      </c>
      <c r="V23" s="202">
        <v>50.405799999999999</v>
      </c>
      <c r="W23" s="202">
        <v>60.320900000000002</v>
      </c>
      <c r="X23" s="202">
        <v>70.240499999999997</v>
      </c>
      <c r="Y23" s="202">
        <v>80.146199999999993</v>
      </c>
      <c r="Z23" s="202">
        <v>90</v>
      </c>
      <c r="AA23" s="202">
        <v>99.591700000000003</v>
      </c>
      <c r="AB23" s="202">
        <v>108.39570000000001</v>
      </c>
      <c r="AC23" s="202">
        <v>115.363</v>
      </c>
      <c r="AD23" s="202">
        <v>121.13760000000001</v>
      </c>
      <c r="AE23" s="202">
        <v>126.2176</v>
      </c>
      <c r="AF23" s="202">
        <v>131.00299999999999</v>
      </c>
      <c r="AG23" s="202">
        <v>135.23330000000001</v>
      </c>
      <c r="AH23" s="202">
        <v>133.45920000000001</v>
      </c>
      <c r="AI23" s="337">
        <v>135.99860000000001</v>
      </c>
      <c r="AL23" s="364" t="s">
        <v>538</v>
      </c>
      <c r="AM23" s="202">
        <v>30</v>
      </c>
      <c r="AN23" s="202">
        <v>20</v>
      </c>
      <c r="AO23" s="202">
        <v>10</v>
      </c>
      <c r="AP23" s="202">
        <v>0</v>
      </c>
      <c r="AQ23" s="202">
        <v>10</v>
      </c>
      <c r="AR23" s="202">
        <v>20</v>
      </c>
      <c r="AS23" s="202">
        <v>30</v>
      </c>
      <c r="AT23" s="202">
        <v>40</v>
      </c>
      <c r="AU23" s="202">
        <v>50</v>
      </c>
      <c r="AV23" s="202">
        <v>60</v>
      </c>
      <c r="AW23" s="202">
        <v>70</v>
      </c>
      <c r="AX23" s="202">
        <v>80</v>
      </c>
      <c r="AY23" s="202">
        <v>90</v>
      </c>
      <c r="AZ23" s="202">
        <v>100</v>
      </c>
      <c r="BA23" s="202">
        <v>110</v>
      </c>
      <c r="BB23" s="202">
        <v>120</v>
      </c>
      <c r="BC23" s="202">
        <v>130</v>
      </c>
      <c r="BD23" s="202">
        <v>140</v>
      </c>
      <c r="BE23" s="202">
        <v>150</v>
      </c>
      <c r="BF23" s="202">
        <v>160</v>
      </c>
      <c r="BG23" s="202">
        <v>170</v>
      </c>
      <c r="BH23" s="337">
        <v>180</v>
      </c>
    </row>
    <row r="24" spans="12:60" ht="15.75" thickBot="1" x14ac:dyDescent="0.3">
      <c r="M24" s="365" t="s">
        <v>539</v>
      </c>
      <c r="N24" s="332">
        <v>7.95</v>
      </c>
      <c r="O24" s="332">
        <v>6.4044999999999996</v>
      </c>
      <c r="P24" s="332">
        <v>5.4885000000000002</v>
      </c>
      <c r="Q24" s="332">
        <v>5.109</v>
      </c>
      <c r="R24" s="332">
        <v>5.2058999999999997</v>
      </c>
      <c r="S24" s="332">
        <v>5.8491</v>
      </c>
      <c r="T24" s="332">
        <v>7.0876999999999999</v>
      </c>
      <c r="U24" s="332">
        <v>8.9164999999999992</v>
      </c>
      <c r="V24" s="332">
        <v>11.5152</v>
      </c>
      <c r="W24" s="332">
        <v>15.6882</v>
      </c>
      <c r="X24" s="332">
        <v>24.1374</v>
      </c>
      <c r="Y24" s="332">
        <v>44.732799999999997</v>
      </c>
      <c r="Z24" s="332">
        <v>90</v>
      </c>
      <c r="AA24" s="332">
        <v>59.377699999999997</v>
      </c>
      <c r="AB24" s="332">
        <v>50.699199999999998</v>
      </c>
      <c r="AC24" s="332">
        <v>50.292099999999998</v>
      </c>
      <c r="AD24" s="332">
        <v>48.959899999999998</v>
      </c>
      <c r="AE24" s="332">
        <v>47.128399999999999</v>
      </c>
      <c r="AF24" s="332">
        <v>44.852200000000003</v>
      </c>
      <c r="AG24" s="332">
        <v>42.697699999999998</v>
      </c>
      <c r="AH24" s="332">
        <v>46.135599999999997</v>
      </c>
      <c r="AI24" s="360">
        <v>44.001399999999997</v>
      </c>
      <c r="AL24" s="365" t="s">
        <v>539</v>
      </c>
      <c r="AM24" s="332">
        <v>0</v>
      </c>
      <c r="AN24" s="332">
        <v>0</v>
      </c>
      <c r="AO24" s="332">
        <v>0</v>
      </c>
      <c r="AP24" s="332">
        <v>0</v>
      </c>
      <c r="AQ24" s="332">
        <v>0</v>
      </c>
      <c r="AR24" s="332">
        <v>0</v>
      </c>
      <c r="AS24" s="332">
        <v>0</v>
      </c>
      <c r="AT24" s="332">
        <v>0</v>
      </c>
      <c r="AU24" s="332">
        <v>0</v>
      </c>
      <c r="AV24" s="332">
        <v>0</v>
      </c>
      <c r="AW24" s="332">
        <v>0</v>
      </c>
      <c r="AX24" s="332">
        <v>0</v>
      </c>
      <c r="AY24" s="332" t="s">
        <v>596</v>
      </c>
      <c r="AZ24" s="332">
        <v>0</v>
      </c>
      <c r="BA24" s="332">
        <v>0</v>
      </c>
      <c r="BB24" s="332">
        <v>0</v>
      </c>
      <c r="BC24" s="332">
        <v>0</v>
      </c>
      <c r="BD24" s="332">
        <v>0</v>
      </c>
      <c r="BE24" s="332">
        <v>0</v>
      </c>
      <c r="BF24" s="332">
        <v>0</v>
      </c>
      <c r="BG24" s="332">
        <v>0</v>
      </c>
      <c r="BH24" s="360">
        <v>0</v>
      </c>
    </row>
    <row r="25" spans="12:60" ht="15.75" thickBot="1" x14ac:dyDescent="0.3"/>
    <row r="26" spans="12:60" x14ac:dyDescent="0.25">
      <c r="L26" s="710" t="s">
        <v>440</v>
      </c>
      <c r="M26" s="367" t="s">
        <v>441</v>
      </c>
      <c r="N26" s="368"/>
      <c r="O26" s="368"/>
      <c r="P26" s="368"/>
      <c r="Q26" s="368" t="s">
        <v>442</v>
      </c>
      <c r="R26" s="369"/>
      <c r="AK26" s="710" t="s">
        <v>440</v>
      </c>
      <c r="AL26" s="367" t="s">
        <v>441</v>
      </c>
      <c r="AM26" s="368"/>
      <c r="AN26" s="368"/>
      <c r="AO26" s="368"/>
      <c r="AP26" s="368" t="s">
        <v>442</v>
      </c>
      <c r="AQ26" s="369"/>
    </row>
    <row r="27" spans="12:60" x14ac:dyDescent="0.25">
      <c r="L27" s="698"/>
      <c r="M27" s="366" t="s">
        <v>443</v>
      </c>
      <c r="N27" s="198"/>
      <c r="O27" s="198"/>
      <c r="P27" s="198"/>
      <c r="Q27" s="198"/>
      <c r="R27" s="200"/>
      <c r="AK27" s="698"/>
      <c r="AL27" s="366" t="s">
        <v>443</v>
      </c>
      <c r="AM27" s="198"/>
      <c r="AN27" s="198"/>
      <c r="AO27" s="198"/>
      <c r="AP27" s="198"/>
      <c r="AQ27" s="200"/>
    </row>
    <row r="28" spans="12:60" x14ac:dyDescent="0.25">
      <c r="L28" s="698"/>
      <c r="M28" s="366" t="s">
        <v>444</v>
      </c>
      <c r="N28" s="198">
        <v>0</v>
      </c>
      <c r="O28" s="198" t="s">
        <v>445</v>
      </c>
      <c r="P28" s="198">
        <v>0</v>
      </c>
      <c r="Q28" s="198"/>
      <c r="R28" s="200"/>
      <c r="AK28" s="698"/>
      <c r="AL28" s="366" t="s">
        <v>444</v>
      </c>
      <c r="AM28" s="198">
        <v>0</v>
      </c>
      <c r="AN28" s="198" t="s">
        <v>445</v>
      </c>
      <c r="AO28" s="198">
        <v>0</v>
      </c>
      <c r="AP28" s="198"/>
      <c r="AQ28" s="200"/>
    </row>
    <row r="29" spans="12:60" x14ac:dyDescent="0.25">
      <c r="L29" s="698"/>
      <c r="M29" s="366" t="s">
        <v>446</v>
      </c>
      <c r="N29" s="198"/>
      <c r="O29" s="198"/>
      <c r="P29" s="198"/>
      <c r="Q29" s="198"/>
      <c r="R29" s="200"/>
      <c r="AK29" s="698"/>
      <c r="AL29" s="366" t="s">
        <v>446</v>
      </c>
      <c r="AM29" s="198"/>
      <c r="AN29" s="198"/>
      <c r="AO29" s="198"/>
      <c r="AP29" s="198"/>
      <c r="AQ29" s="200"/>
    </row>
    <row r="30" spans="12:60" x14ac:dyDescent="0.25">
      <c r="L30" s="698"/>
      <c r="M30" s="366" t="s">
        <v>444</v>
      </c>
      <c r="N30" s="198">
        <v>30</v>
      </c>
      <c r="O30" s="198" t="s">
        <v>445</v>
      </c>
      <c r="P30" s="198">
        <v>30</v>
      </c>
      <c r="Q30" s="198"/>
      <c r="R30" s="200"/>
      <c r="AK30" s="698"/>
      <c r="AL30" s="366" t="s">
        <v>444</v>
      </c>
      <c r="AM30" s="198">
        <v>30</v>
      </c>
      <c r="AN30" s="198" t="s">
        <v>445</v>
      </c>
      <c r="AO30" s="198">
        <v>30</v>
      </c>
      <c r="AP30" s="198"/>
      <c r="AQ30" s="200"/>
    </row>
    <row r="31" spans="12:60" x14ac:dyDescent="0.25">
      <c r="L31" s="698"/>
      <c r="M31" s="366" t="s">
        <v>447</v>
      </c>
      <c r="N31" s="198">
        <v>140.5</v>
      </c>
      <c r="O31" s="198" t="s">
        <v>445</v>
      </c>
      <c r="P31" s="198"/>
      <c r="Q31" s="198"/>
      <c r="R31" s="200"/>
      <c r="AK31" s="698"/>
      <c r="AL31" s="366" t="s">
        <v>447</v>
      </c>
      <c r="AM31" s="198">
        <v>154.5</v>
      </c>
      <c r="AN31" s="198" t="s">
        <v>445</v>
      </c>
      <c r="AO31" s="198"/>
      <c r="AP31" s="198"/>
      <c r="AQ31" s="200"/>
    </row>
    <row r="32" spans="12:60" x14ac:dyDescent="0.25">
      <c r="L32" s="698"/>
      <c r="M32" s="366" t="s">
        <v>448</v>
      </c>
      <c r="N32" s="373">
        <v>3.1513</v>
      </c>
      <c r="O32" s="373" t="s">
        <v>449</v>
      </c>
      <c r="P32" s="373">
        <v>25.042899999999999</v>
      </c>
      <c r="Q32" s="373" t="s">
        <v>442</v>
      </c>
      <c r="R32" s="200">
        <v>694.68</v>
      </c>
      <c r="AK32" s="698"/>
      <c r="AL32" s="366" t="s">
        <v>448</v>
      </c>
      <c r="AM32" s="373">
        <v>3.1513</v>
      </c>
      <c r="AN32" s="373" t="s">
        <v>449</v>
      </c>
      <c r="AO32" s="373">
        <v>85.744399999999999</v>
      </c>
      <c r="AP32" s="373" t="s">
        <v>442</v>
      </c>
      <c r="AQ32" s="200">
        <v>2620.92</v>
      </c>
    </row>
    <row r="33" spans="12:43" x14ac:dyDescent="0.25">
      <c r="L33" s="381"/>
      <c r="M33" s="376"/>
      <c r="N33" s="377"/>
      <c r="O33" s="377"/>
      <c r="P33" s="377"/>
      <c r="Q33" s="377"/>
      <c r="R33" s="382"/>
      <c r="AK33" s="381"/>
      <c r="AL33" s="376"/>
      <c r="AM33" s="377"/>
      <c r="AN33" s="377"/>
      <c r="AO33" s="377"/>
      <c r="AP33" s="377"/>
      <c r="AQ33" s="382"/>
    </row>
    <row r="34" spans="12:43" x14ac:dyDescent="0.25">
      <c r="L34" s="697" t="s">
        <v>440</v>
      </c>
      <c r="M34" s="374" t="s">
        <v>450</v>
      </c>
      <c r="N34" s="375"/>
      <c r="O34" s="375"/>
      <c r="P34" s="375"/>
      <c r="Q34" s="375" t="s">
        <v>442</v>
      </c>
      <c r="R34" s="383"/>
      <c r="AK34" s="697" t="s">
        <v>440</v>
      </c>
      <c r="AL34" s="374" t="s">
        <v>450</v>
      </c>
      <c r="AM34" s="375"/>
      <c r="AN34" s="375"/>
      <c r="AO34" s="375"/>
      <c r="AP34" s="375" t="s">
        <v>442</v>
      </c>
      <c r="AQ34" s="383"/>
    </row>
    <row r="35" spans="12:43" x14ac:dyDescent="0.25">
      <c r="L35" s="698"/>
      <c r="M35" s="366" t="s">
        <v>443</v>
      </c>
      <c r="N35" s="198"/>
      <c r="O35" s="198"/>
      <c r="P35" s="198"/>
      <c r="Q35" s="198"/>
      <c r="R35" s="200"/>
      <c r="AK35" s="698"/>
      <c r="AL35" s="366" t="s">
        <v>443</v>
      </c>
      <c r="AM35" s="198"/>
      <c r="AN35" s="198"/>
      <c r="AO35" s="198"/>
      <c r="AP35" s="198"/>
      <c r="AQ35" s="200"/>
    </row>
    <row r="36" spans="12:43" x14ac:dyDescent="0.25">
      <c r="L36" s="698"/>
      <c r="M36" s="366" t="s">
        <v>444</v>
      </c>
      <c r="N36" s="198">
        <v>0</v>
      </c>
      <c r="O36" s="198" t="s">
        <v>445</v>
      </c>
      <c r="P36" s="198">
        <v>0</v>
      </c>
      <c r="Q36" s="198"/>
      <c r="R36" s="200"/>
      <c r="AK36" s="698"/>
      <c r="AL36" s="366" t="s">
        <v>444</v>
      </c>
      <c r="AM36" s="198">
        <v>0</v>
      </c>
      <c r="AN36" s="198" t="s">
        <v>445</v>
      </c>
      <c r="AO36" s="198">
        <v>0</v>
      </c>
      <c r="AP36" s="198"/>
      <c r="AQ36" s="200"/>
    </row>
    <row r="37" spans="12:43" x14ac:dyDescent="0.25">
      <c r="L37" s="698"/>
      <c r="M37" s="366" t="s">
        <v>446</v>
      </c>
      <c r="N37" s="198"/>
      <c r="O37" s="198"/>
      <c r="P37" s="198"/>
      <c r="Q37" s="198"/>
      <c r="R37" s="200"/>
      <c r="AK37" s="698"/>
      <c r="AL37" s="366" t="s">
        <v>446</v>
      </c>
      <c r="AM37" s="198"/>
      <c r="AN37" s="198"/>
      <c r="AO37" s="198"/>
      <c r="AP37" s="198"/>
      <c r="AQ37" s="200"/>
    </row>
    <row r="38" spans="12:43" x14ac:dyDescent="0.25">
      <c r="L38" s="698"/>
      <c r="M38" s="366" t="s">
        <v>444</v>
      </c>
      <c r="N38" s="198">
        <v>40</v>
      </c>
      <c r="O38" s="198" t="s">
        <v>445</v>
      </c>
      <c r="P38" s="198">
        <v>40</v>
      </c>
      <c r="Q38" s="198"/>
      <c r="R38" s="200"/>
      <c r="AK38" s="698"/>
      <c r="AL38" s="366" t="s">
        <v>444</v>
      </c>
      <c r="AM38" s="198">
        <v>40</v>
      </c>
      <c r="AN38" s="198" t="s">
        <v>445</v>
      </c>
      <c r="AO38" s="198">
        <v>40</v>
      </c>
      <c r="AP38" s="198"/>
      <c r="AQ38" s="200"/>
    </row>
    <row r="39" spans="12:43" x14ac:dyDescent="0.25">
      <c r="L39" s="698"/>
      <c r="M39" s="366" t="s">
        <v>451</v>
      </c>
      <c r="N39" s="198" t="s">
        <v>452</v>
      </c>
      <c r="O39" s="198" t="s">
        <v>445</v>
      </c>
      <c r="P39" s="198"/>
      <c r="Q39" s="198"/>
      <c r="R39" s="200"/>
      <c r="AK39" s="698"/>
      <c r="AL39" s="366" t="s">
        <v>451</v>
      </c>
      <c r="AM39" s="198" t="s">
        <v>452</v>
      </c>
      <c r="AN39" s="198" t="s">
        <v>445</v>
      </c>
      <c r="AO39" s="198"/>
      <c r="AP39" s="198"/>
      <c r="AQ39" s="200"/>
    </row>
    <row r="40" spans="12:43" x14ac:dyDescent="0.25">
      <c r="L40" s="698"/>
      <c r="M40" s="366" t="s">
        <v>447</v>
      </c>
      <c r="N40" s="198">
        <v>140.5</v>
      </c>
      <c r="O40" s="198" t="s">
        <v>445</v>
      </c>
      <c r="P40" s="198"/>
      <c r="Q40" s="198"/>
      <c r="R40" s="200"/>
      <c r="AK40" s="698"/>
      <c r="AL40" s="366" t="s">
        <v>447</v>
      </c>
      <c r="AM40" s="198">
        <v>154.5</v>
      </c>
      <c r="AN40" s="198" t="s">
        <v>445</v>
      </c>
      <c r="AO40" s="198"/>
      <c r="AP40" s="198"/>
      <c r="AQ40" s="200"/>
    </row>
    <row r="41" spans="12:43" x14ac:dyDescent="0.25">
      <c r="L41" s="698"/>
      <c r="M41" s="366" t="s">
        <v>448</v>
      </c>
      <c r="N41" s="373">
        <v>5.1566000000000001</v>
      </c>
      <c r="O41" s="373" t="s">
        <v>449</v>
      </c>
      <c r="P41" s="373">
        <v>38.439399999999999</v>
      </c>
      <c r="Q41" s="373" t="s">
        <v>442</v>
      </c>
      <c r="R41" s="200">
        <v>645.44000000000005</v>
      </c>
      <c r="AK41" s="698"/>
      <c r="AL41" s="366" t="s">
        <v>448</v>
      </c>
      <c r="AM41" s="373">
        <v>5.1566000000000001</v>
      </c>
      <c r="AN41" s="373" t="s">
        <v>449</v>
      </c>
      <c r="AO41" s="373">
        <v>132.09229999999999</v>
      </c>
      <c r="AP41" s="373" t="s">
        <v>442</v>
      </c>
      <c r="AQ41" s="200">
        <v>2461.62</v>
      </c>
    </row>
    <row r="42" spans="12:43" x14ac:dyDescent="0.25">
      <c r="L42" s="381"/>
      <c r="M42" s="376"/>
      <c r="N42" s="377"/>
      <c r="O42" s="377"/>
      <c r="P42" s="377"/>
      <c r="Q42" s="377"/>
      <c r="R42" s="382"/>
      <c r="AK42" s="381"/>
      <c r="AL42" s="376"/>
      <c r="AM42" s="377"/>
      <c r="AN42" s="377"/>
      <c r="AO42" s="377"/>
      <c r="AP42" s="377"/>
      <c r="AQ42" s="382"/>
    </row>
    <row r="43" spans="12:43" x14ac:dyDescent="0.25">
      <c r="L43" s="697" t="s">
        <v>440</v>
      </c>
      <c r="M43" s="374" t="s">
        <v>453</v>
      </c>
      <c r="N43" s="375"/>
      <c r="O43" s="375"/>
      <c r="P43" s="375"/>
      <c r="Q43" s="375" t="s">
        <v>442</v>
      </c>
      <c r="R43" s="383"/>
      <c r="AK43" s="697" t="s">
        <v>440</v>
      </c>
      <c r="AL43" s="374" t="s">
        <v>453</v>
      </c>
      <c r="AM43" s="375"/>
      <c r="AN43" s="375"/>
      <c r="AO43" s="375"/>
      <c r="AP43" s="375" t="s">
        <v>442</v>
      </c>
      <c r="AQ43" s="383"/>
    </row>
    <row r="44" spans="12:43" x14ac:dyDescent="0.25">
      <c r="L44" s="698"/>
      <c r="M44" s="366" t="s">
        <v>443</v>
      </c>
      <c r="N44" s="198"/>
      <c r="O44" s="198"/>
      <c r="P44" s="198"/>
      <c r="Q44" s="198"/>
      <c r="R44" s="200"/>
      <c r="AK44" s="698"/>
      <c r="AL44" s="366" t="s">
        <v>443</v>
      </c>
      <c r="AM44" s="198"/>
      <c r="AN44" s="198"/>
      <c r="AO44" s="198"/>
      <c r="AP44" s="198"/>
      <c r="AQ44" s="200"/>
    </row>
    <row r="45" spans="12:43" x14ac:dyDescent="0.25">
      <c r="L45" s="698"/>
      <c r="M45" s="366" t="s">
        <v>444</v>
      </c>
      <c r="N45" s="198">
        <v>30</v>
      </c>
      <c r="O45" s="198" t="s">
        <v>445</v>
      </c>
      <c r="P45" s="198">
        <v>30</v>
      </c>
      <c r="Q45" s="198"/>
      <c r="R45" s="200"/>
      <c r="AK45" s="698"/>
      <c r="AL45" s="366" t="s">
        <v>444</v>
      </c>
      <c r="AM45" s="198">
        <v>30</v>
      </c>
      <c r="AN45" s="198" t="s">
        <v>445</v>
      </c>
      <c r="AO45" s="198">
        <v>30</v>
      </c>
      <c r="AP45" s="198"/>
      <c r="AQ45" s="200"/>
    </row>
    <row r="46" spans="12:43" x14ac:dyDescent="0.25">
      <c r="L46" s="698"/>
      <c r="M46" s="366" t="s">
        <v>446</v>
      </c>
      <c r="N46" s="198"/>
      <c r="O46" s="198"/>
      <c r="P46" s="198"/>
      <c r="Q46" s="198"/>
      <c r="R46" s="200"/>
      <c r="AK46" s="698"/>
      <c r="AL46" s="366" t="s">
        <v>446</v>
      </c>
      <c r="AM46" s="198"/>
      <c r="AN46" s="198"/>
      <c r="AO46" s="198"/>
      <c r="AP46" s="198"/>
      <c r="AQ46" s="200"/>
    </row>
    <row r="47" spans="12:43" x14ac:dyDescent="0.25">
      <c r="L47" s="698"/>
      <c r="M47" s="366" t="s">
        <v>444</v>
      </c>
      <c r="N47" s="198">
        <v>40</v>
      </c>
      <c r="O47" s="198" t="s">
        <v>445</v>
      </c>
      <c r="P47" s="198">
        <v>40</v>
      </c>
      <c r="Q47" s="198"/>
      <c r="R47" s="200"/>
      <c r="AK47" s="698"/>
      <c r="AL47" s="366" t="s">
        <v>444</v>
      </c>
      <c r="AM47" s="198">
        <v>40</v>
      </c>
      <c r="AN47" s="198" t="s">
        <v>445</v>
      </c>
      <c r="AO47" s="198">
        <v>40</v>
      </c>
      <c r="AP47" s="198"/>
      <c r="AQ47" s="200"/>
    </row>
    <row r="48" spans="12:43" x14ac:dyDescent="0.25">
      <c r="L48" s="698"/>
      <c r="M48" s="366" t="s">
        <v>451</v>
      </c>
      <c r="N48" s="198" t="s">
        <v>452</v>
      </c>
      <c r="O48" s="198" t="s">
        <v>445</v>
      </c>
      <c r="P48" s="198"/>
      <c r="Q48" s="198"/>
      <c r="R48" s="200"/>
      <c r="AK48" s="698"/>
      <c r="AL48" s="366" t="s">
        <v>451</v>
      </c>
      <c r="AM48" s="198" t="s">
        <v>452</v>
      </c>
      <c r="AN48" s="198" t="s">
        <v>445</v>
      </c>
      <c r="AO48" s="198"/>
      <c r="AP48" s="198"/>
      <c r="AQ48" s="200"/>
    </row>
    <row r="49" spans="12:43" x14ac:dyDescent="0.25">
      <c r="L49" s="698"/>
      <c r="M49" s="366" t="s">
        <v>447</v>
      </c>
      <c r="N49" s="198">
        <v>140.5</v>
      </c>
      <c r="O49" s="198" t="s">
        <v>445</v>
      </c>
      <c r="P49" s="198"/>
      <c r="Q49" s="198"/>
      <c r="R49" s="200"/>
      <c r="AK49" s="698"/>
      <c r="AL49" s="366" t="s">
        <v>447</v>
      </c>
      <c r="AM49" s="198">
        <v>154.5</v>
      </c>
      <c r="AN49" s="198" t="s">
        <v>445</v>
      </c>
      <c r="AO49" s="198"/>
      <c r="AP49" s="198"/>
      <c r="AQ49" s="200"/>
    </row>
    <row r="50" spans="12:43" x14ac:dyDescent="0.25">
      <c r="L50" s="698"/>
      <c r="M50" s="366" t="s">
        <v>448</v>
      </c>
      <c r="N50" s="373">
        <v>1.7189000000000001</v>
      </c>
      <c r="O50" s="373" t="s">
        <v>449</v>
      </c>
      <c r="P50" s="373">
        <v>13.3965</v>
      </c>
      <c r="Q50" s="373" t="s">
        <v>442</v>
      </c>
      <c r="R50" s="200">
        <v>679.36</v>
      </c>
      <c r="AK50" s="698"/>
      <c r="AL50" s="366" t="s">
        <v>448</v>
      </c>
      <c r="AM50" s="373">
        <v>1.7189000000000001</v>
      </c>
      <c r="AN50" s="373" t="s">
        <v>449</v>
      </c>
      <c r="AO50" s="373">
        <v>46.347900000000003</v>
      </c>
      <c r="AP50" s="373" t="s">
        <v>442</v>
      </c>
      <c r="AQ50" s="200">
        <v>2596.37</v>
      </c>
    </row>
    <row r="51" spans="12:43" x14ac:dyDescent="0.25">
      <c r="L51" s="381"/>
      <c r="M51" s="376"/>
      <c r="N51" s="377"/>
      <c r="O51" s="377"/>
      <c r="P51" s="377"/>
      <c r="Q51" s="377"/>
      <c r="R51" s="382"/>
      <c r="AK51" s="381"/>
      <c r="AL51" s="376"/>
      <c r="AM51" s="377"/>
      <c r="AN51" s="377"/>
      <c r="AO51" s="377"/>
      <c r="AP51" s="377"/>
      <c r="AQ51" s="382"/>
    </row>
    <row r="52" spans="12:43" x14ac:dyDescent="0.25">
      <c r="L52" s="697" t="s">
        <v>440</v>
      </c>
      <c r="M52" s="374" t="s">
        <v>454</v>
      </c>
      <c r="N52" s="375"/>
      <c r="O52" s="375"/>
      <c r="P52" s="375"/>
      <c r="Q52" s="375" t="s">
        <v>442</v>
      </c>
      <c r="R52" s="383"/>
      <c r="AK52" s="697" t="s">
        <v>440</v>
      </c>
      <c r="AL52" s="374" t="s">
        <v>454</v>
      </c>
      <c r="AM52" s="375"/>
      <c r="AN52" s="375"/>
      <c r="AO52" s="375"/>
      <c r="AP52" s="375" t="s">
        <v>442</v>
      </c>
      <c r="AQ52" s="383"/>
    </row>
    <row r="53" spans="12:43" x14ac:dyDescent="0.25">
      <c r="L53" s="698"/>
      <c r="M53" s="366" t="s">
        <v>455</v>
      </c>
      <c r="N53" s="198"/>
      <c r="O53" s="198"/>
      <c r="P53" s="198"/>
      <c r="Q53" s="198"/>
      <c r="R53" s="200"/>
      <c r="AK53" s="698"/>
      <c r="AL53" s="366" t="s">
        <v>455</v>
      </c>
      <c r="AM53" s="198"/>
      <c r="AN53" s="198"/>
      <c r="AO53" s="198"/>
      <c r="AP53" s="198"/>
      <c r="AQ53" s="200"/>
    </row>
    <row r="54" spans="12:43" x14ac:dyDescent="0.25">
      <c r="L54" s="698"/>
      <c r="M54" s="366" t="s">
        <v>444</v>
      </c>
      <c r="N54" s="198">
        <v>30</v>
      </c>
      <c r="O54" s="198" t="s">
        <v>445</v>
      </c>
      <c r="P54" s="198">
        <v>30</v>
      </c>
      <c r="Q54" s="198"/>
      <c r="R54" s="200"/>
      <c r="AK54" s="698"/>
      <c r="AL54" s="366" t="s">
        <v>444</v>
      </c>
      <c r="AM54" s="198">
        <v>30</v>
      </c>
      <c r="AN54" s="198" t="s">
        <v>445</v>
      </c>
      <c r="AO54" s="198">
        <v>30</v>
      </c>
      <c r="AP54" s="198"/>
      <c r="AQ54" s="200"/>
    </row>
    <row r="55" spans="12:43" x14ac:dyDescent="0.25">
      <c r="L55" s="698"/>
      <c r="M55" s="366" t="s">
        <v>446</v>
      </c>
      <c r="N55" s="198"/>
      <c r="O55" s="198"/>
      <c r="P55" s="198"/>
      <c r="Q55" s="198"/>
      <c r="R55" s="200"/>
      <c r="AK55" s="698"/>
      <c r="AL55" s="366" t="s">
        <v>446</v>
      </c>
      <c r="AM55" s="198"/>
      <c r="AN55" s="198"/>
      <c r="AO55" s="198"/>
      <c r="AP55" s="198"/>
      <c r="AQ55" s="200"/>
    </row>
    <row r="56" spans="12:43" x14ac:dyDescent="0.25">
      <c r="L56" s="698"/>
      <c r="M56" s="366" t="s">
        <v>444</v>
      </c>
      <c r="N56" s="198">
        <v>90</v>
      </c>
      <c r="O56" s="198" t="s">
        <v>445</v>
      </c>
      <c r="P56" s="198"/>
      <c r="Q56" s="198"/>
      <c r="R56" s="200"/>
      <c r="AK56" s="698"/>
      <c r="AL56" s="366" t="s">
        <v>444</v>
      </c>
      <c r="AM56" s="198">
        <v>90</v>
      </c>
      <c r="AN56" s="198" t="s">
        <v>445</v>
      </c>
      <c r="AO56" s="198">
        <v>90</v>
      </c>
      <c r="AP56" s="198"/>
      <c r="AQ56" s="200"/>
    </row>
    <row r="57" spans="12:43" x14ac:dyDescent="0.25">
      <c r="L57" s="698"/>
      <c r="M57" s="366" t="s">
        <v>456</v>
      </c>
      <c r="N57" s="198">
        <v>87.3</v>
      </c>
      <c r="O57" s="198" t="s">
        <v>445</v>
      </c>
      <c r="P57" s="198">
        <v>87.3</v>
      </c>
      <c r="Q57" s="198"/>
      <c r="R57" s="200"/>
      <c r="AK57" s="698"/>
      <c r="AL57" s="366" t="s">
        <v>456</v>
      </c>
      <c r="AM57" s="198">
        <v>99.1</v>
      </c>
      <c r="AN57" s="198" t="s">
        <v>445</v>
      </c>
      <c r="AO57" s="198"/>
      <c r="AP57" s="198"/>
      <c r="AQ57" s="200"/>
    </row>
    <row r="58" spans="12:43" x14ac:dyDescent="0.25">
      <c r="L58" s="698"/>
      <c r="M58" s="366" t="s">
        <v>448</v>
      </c>
      <c r="N58" s="373">
        <v>0.2</v>
      </c>
      <c r="O58" s="373" t="s">
        <v>71</v>
      </c>
      <c r="P58" s="373">
        <v>1.5780000000000001</v>
      </c>
      <c r="Q58" s="373" t="s">
        <v>442</v>
      </c>
      <c r="R58" s="200">
        <v>689</v>
      </c>
      <c r="AK58" s="698"/>
      <c r="AL58" s="366" t="s">
        <v>448</v>
      </c>
      <c r="AM58" s="373">
        <v>0.2</v>
      </c>
      <c r="AN58" s="373" t="s">
        <v>71</v>
      </c>
      <c r="AO58" s="373">
        <v>4.9790000000000001</v>
      </c>
      <c r="AP58" s="373" t="s">
        <v>442</v>
      </c>
      <c r="AQ58" s="200">
        <v>2389.5</v>
      </c>
    </row>
    <row r="59" spans="12:43" x14ac:dyDescent="0.25">
      <c r="L59" s="698"/>
      <c r="M59" s="366" t="s">
        <v>457</v>
      </c>
      <c r="N59" s="198"/>
      <c r="O59" s="198"/>
      <c r="P59" s="198"/>
      <c r="Q59" s="198"/>
      <c r="R59" s="200"/>
      <c r="AK59" s="698"/>
      <c r="AL59" s="366" t="s">
        <v>457</v>
      </c>
      <c r="AM59" s="198"/>
      <c r="AN59" s="198"/>
      <c r="AO59" s="198"/>
      <c r="AP59" s="198"/>
      <c r="AQ59" s="200"/>
    </row>
    <row r="60" spans="12:43" x14ac:dyDescent="0.25">
      <c r="L60" s="698"/>
      <c r="M60" s="366" t="s">
        <v>458</v>
      </c>
      <c r="N60" s="198"/>
      <c r="O60" s="198" t="s">
        <v>445</v>
      </c>
      <c r="P60" s="198">
        <v>87.3</v>
      </c>
      <c r="Q60" s="198"/>
      <c r="R60" s="200"/>
      <c r="AK60" s="698"/>
      <c r="AL60" s="366" t="s">
        <v>458</v>
      </c>
      <c r="AM60" s="198"/>
      <c r="AN60" s="198" t="s">
        <v>445</v>
      </c>
      <c r="AO60" s="198">
        <v>90</v>
      </c>
      <c r="AP60" s="198"/>
      <c r="AQ60" s="200"/>
    </row>
    <row r="61" spans="12:43" x14ac:dyDescent="0.25">
      <c r="L61" s="381"/>
      <c r="M61" s="376"/>
      <c r="N61" s="377"/>
      <c r="O61" s="377"/>
      <c r="P61" s="377"/>
      <c r="Q61" s="377"/>
      <c r="R61" s="382"/>
      <c r="AK61" s="381"/>
      <c r="AL61" s="376"/>
      <c r="AM61" s="377"/>
      <c r="AN61" s="377"/>
      <c r="AO61" s="377"/>
      <c r="AP61" s="377"/>
      <c r="AQ61" s="382"/>
    </row>
    <row r="62" spans="12:43" x14ac:dyDescent="0.25">
      <c r="L62" s="697" t="s">
        <v>440</v>
      </c>
      <c r="M62" s="374" t="s">
        <v>459</v>
      </c>
      <c r="N62" s="375"/>
      <c r="O62" s="375"/>
      <c r="P62" s="375"/>
      <c r="Q62" s="375" t="s">
        <v>442</v>
      </c>
      <c r="R62" s="383"/>
      <c r="AK62" s="697" t="s">
        <v>440</v>
      </c>
      <c r="AL62" s="374" t="s">
        <v>459</v>
      </c>
      <c r="AM62" s="375"/>
      <c r="AN62" s="375"/>
      <c r="AO62" s="375"/>
      <c r="AP62" s="375" t="s">
        <v>442</v>
      </c>
      <c r="AQ62" s="383"/>
    </row>
    <row r="63" spans="12:43" x14ac:dyDescent="0.25">
      <c r="L63" s="698"/>
      <c r="M63" s="366" t="s">
        <v>448</v>
      </c>
      <c r="N63" s="373">
        <v>25</v>
      </c>
      <c r="O63" s="373" t="s">
        <v>445</v>
      </c>
      <c r="P63" s="373">
        <v>87.3</v>
      </c>
      <c r="Q63" s="373" t="s">
        <v>442</v>
      </c>
      <c r="R63" s="200">
        <v>249.09</v>
      </c>
      <c r="AK63" s="698"/>
      <c r="AL63" s="366" t="s">
        <v>448</v>
      </c>
      <c r="AM63" s="373">
        <v>25</v>
      </c>
      <c r="AN63" s="373" t="s">
        <v>445</v>
      </c>
      <c r="AO63" s="373">
        <v>99.1</v>
      </c>
      <c r="AP63" s="373" t="s">
        <v>442</v>
      </c>
      <c r="AQ63" s="200">
        <v>296.36</v>
      </c>
    </row>
    <row r="64" spans="12:43" x14ac:dyDescent="0.25">
      <c r="L64" s="381"/>
      <c r="M64" s="376"/>
      <c r="N64" s="377"/>
      <c r="O64" s="377"/>
      <c r="P64" s="377"/>
      <c r="Q64" s="377"/>
      <c r="R64" s="382"/>
      <c r="AK64" s="381"/>
      <c r="AL64" s="376"/>
      <c r="AM64" s="377"/>
      <c r="AN64" s="377"/>
      <c r="AO64" s="377"/>
      <c r="AP64" s="377"/>
      <c r="AQ64" s="382"/>
    </row>
    <row r="65" spans="12:43" x14ac:dyDescent="0.25">
      <c r="L65" s="697" t="s">
        <v>440</v>
      </c>
      <c r="M65" s="374" t="s">
        <v>460</v>
      </c>
      <c r="N65" s="375"/>
      <c r="O65" s="375"/>
      <c r="P65" s="375"/>
      <c r="Q65" s="375" t="s">
        <v>442</v>
      </c>
      <c r="R65" s="383"/>
      <c r="AK65" s="697" t="s">
        <v>440</v>
      </c>
      <c r="AL65" s="374" t="s">
        <v>460</v>
      </c>
      <c r="AM65" s="375"/>
      <c r="AN65" s="375"/>
      <c r="AO65" s="375"/>
      <c r="AP65" s="375" t="s">
        <v>442</v>
      </c>
      <c r="AQ65" s="383"/>
    </row>
    <row r="66" spans="12:43" x14ac:dyDescent="0.25">
      <c r="L66" s="698"/>
      <c r="M66" s="366" t="s">
        <v>444</v>
      </c>
      <c r="N66" s="198">
        <v>0</v>
      </c>
      <c r="O66" s="198" t="s">
        <v>445</v>
      </c>
      <c r="P66" s="198"/>
      <c r="Q66" s="198"/>
      <c r="R66" s="200"/>
      <c r="AK66" s="698"/>
      <c r="AL66" s="366" t="s">
        <v>444</v>
      </c>
      <c r="AM66" s="198">
        <v>0</v>
      </c>
      <c r="AN66" s="198" t="s">
        <v>445</v>
      </c>
      <c r="AO66" s="198"/>
      <c r="AP66" s="198"/>
      <c r="AQ66" s="200"/>
    </row>
    <row r="67" spans="12:43" x14ac:dyDescent="0.25">
      <c r="L67" s="698"/>
      <c r="M67" s="366" t="s">
        <v>448</v>
      </c>
      <c r="N67" s="373">
        <v>0.15</v>
      </c>
      <c r="O67" s="373" t="s">
        <v>71</v>
      </c>
      <c r="P67" s="373">
        <v>3.992</v>
      </c>
      <c r="Q67" s="373" t="s">
        <v>442</v>
      </c>
      <c r="R67" s="200">
        <v>2561.33</v>
      </c>
      <c r="AK67" s="698"/>
      <c r="AL67" s="366" t="s">
        <v>448</v>
      </c>
      <c r="AM67" s="373">
        <v>0.15</v>
      </c>
      <c r="AN67" s="373" t="s">
        <v>71</v>
      </c>
      <c r="AO67" s="373">
        <v>11.852</v>
      </c>
      <c r="AP67" s="373" t="s">
        <v>442</v>
      </c>
      <c r="AQ67" s="200">
        <v>7801.33</v>
      </c>
    </row>
    <row r="68" spans="12:43" x14ac:dyDescent="0.25">
      <c r="L68" s="381"/>
      <c r="M68" s="376"/>
      <c r="N68" s="377"/>
      <c r="O68" s="377"/>
      <c r="P68" s="377"/>
      <c r="Q68" s="377"/>
      <c r="R68" s="382"/>
      <c r="AK68" s="381"/>
      <c r="AL68" s="376"/>
      <c r="AM68" s="377"/>
      <c r="AN68" s="377"/>
      <c r="AO68" s="377"/>
      <c r="AP68" s="377"/>
      <c r="AQ68" s="382"/>
    </row>
    <row r="69" spans="12:43" ht="30" x14ac:dyDescent="0.25">
      <c r="L69" s="697" t="s">
        <v>440</v>
      </c>
      <c r="M69" s="374" t="s">
        <v>461</v>
      </c>
      <c r="N69" s="375"/>
      <c r="O69" s="375"/>
      <c r="P69" s="375"/>
      <c r="Q69" s="375" t="s">
        <v>442</v>
      </c>
      <c r="R69" s="383"/>
      <c r="AK69" s="697" t="s">
        <v>440</v>
      </c>
      <c r="AL69" s="374" t="s">
        <v>461</v>
      </c>
      <c r="AM69" s="375"/>
      <c r="AN69" s="375"/>
      <c r="AO69" s="375"/>
      <c r="AP69" s="375" t="s">
        <v>442</v>
      </c>
      <c r="AQ69" s="383"/>
    </row>
    <row r="70" spans="12:43" ht="30" x14ac:dyDescent="0.25">
      <c r="L70" s="698"/>
      <c r="M70" s="366" t="s">
        <v>462</v>
      </c>
      <c r="N70" s="198"/>
      <c r="O70" s="198"/>
      <c r="P70" s="198"/>
      <c r="Q70" s="198"/>
      <c r="R70" s="200"/>
      <c r="AK70" s="698"/>
      <c r="AL70" s="366" t="s">
        <v>462</v>
      </c>
      <c r="AM70" s="198"/>
      <c r="AN70" s="198"/>
      <c r="AO70" s="198"/>
      <c r="AP70" s="198"/>
      <c r="AQ70" s="200"/>
    </row>
    <row r="71" spans="12:43" x14ac:dyDescent="0.25">
      <c r="L71" s="698"/>
      <c r="M71" s="366" t="s">
        <v>463</v>
      </c>
      <c r="N71" s="198">
        <v>0</v>
      </c>
      <c r="O71" s="198"/>
      <c r="P71" s="198"/>
      <c r="Q71" s="198"/>
      <c r="R71" s="200"/>
      <c r="AK71" s="698"/>
      <c r="AL71" s="366" t="s">
        <v>463</v>
      </c>
      <c r="AM71" s="198">
        <v>0</v>
      </c>
      <c r="AN71" s="198"/>
      <c r="AO71" s="198"/>
      <c r="AP71" s="198"/>
      <c r="AQ71" s="200"/>
    </row>
    <row r="72" spans="12:43" x14ac:dyDescent="0.25">
      <c r="L72" s="698"/>
      <c r="M72" s="366" t="s">
        <v>464</v>
      </c>
      <c r="N72" s="198">
        <v>75</v>
      </c>
      <c r="O72" s="198" t="s">
        <v>267</v>
      </c>
      <c r="P72" s="198"/>
      <c r="Q72" s="198"/>
      <c r="R72" s="200"/>
      <c r="AK72" s="698"/>
      <c r="AL72" s="366" t="s">
        <v>464</v>
      </c>
      <c r="AM72" s="198">
        <v>75</v>
      </c>
      <c r="AN72" s="198" t="s">
        <v>267</v>
      </c>
      <c r="AO72" s="198"/>
      <c r="AP72" s="198"/>
      <c r="AQ72" s="200"/>
    </row>
    <row r="73" spans="12:43" x14ac:dyDescent="0.25">
      <c r="L73" s="698"/>
      <c r="M73" s="366" t="s">
        <v>465</v>
      </c>
      <c r="N73" s="198">
        <v>0</v>
      </c>
      <c r="O73" s="198" t="s">
        <v>71</v>
      </c>
      <c r="P73" s="198"/>
      <c r="Q73" s="198"/>
      <c r="R73" s="200"/>
      <c r="AK73" s="698"/>
      <c r="AL73" s="366" t="s">
        <v>465</v>
      </c>
      <c r="AM73" s="198">
        <v>0</v>
      </c>
      <c r="AN73" s="198" t="s">
        <v>71</v>
      </c>
      <c r="AO73" s="198"/>
      <c r="AP73" s="198"/>
      <c r="AQ73" s="200"/>
    </row>
    <row r="74" spans="12:43" x14ac:dyDescent="0.25">
      <c r="L74" s="698"/>
      <c r="M74" s="366" t="s">
        <v>466</v>
      </c>
      <c r="N74" s="198">
        <v>0</v>
      </c>
      <c r="O74" s="198"/>
      <c r="P74" s="198"/>
      <c r="Q74" s="198"/>
      <c r="R74" s="200"/>
      <c r="AK74" s="698"/>
      <c r="AL74" s="366" t="s">
        <v>466</v>
      </c>
      <c r="AM74" s="198">
        <v>0</v>
      </c>
      <c r="AN74" s="198"/>
      <c r="AO74" s="198"/>
      <c r="AP74" s="198"/>
      <c r="AQ74" s="200"/>
    </row>
    <row r="75" spans="12:43" x14ac:dyDescent="0.25">
      <c r="L75" s="698"/>
      <c r="M75" s="366" t="s">
        <v>467</v>
      </c>
      <c r="N75" s="373">
        <v>10</v>
      </c>
      <c r="O75" s="373" t="s">
        <v>445</v>
      </c>
      <c r="P75" s="373">
        <v>0</v>
      </c>
      <c r="Q75" s="373" t="s">
        <v>442</v>
      </c>
      <c r="R75" s="200">
        <v>100.41</v>
      </c>
      <c r="AK75" s="698"/>
      <c r="AL75" s="366" t="s">
        <v>467</v>
      </c>
      <c r="AM75" s="373">
        <v>10</v>
      </c>
      <c r="AN75" s="373" t="s">
        <v>445</v>
      </c>
      <c r="AO75" s="373">
        <v>0</v>
      </c>
      <c r="AP75" s="373" t="s">
        <v>442</v>
      </c>
      <c r="AQ75" s="200">
        <v>99.85</v>
      </c>
    </row>
    <row r="76" spans="12:43" x14ac:dyDescent="0.25">
      <c r="L76" s="698"/>
      <c r="M76" s="366" t="s">
        <v>457</v>
      </c>
      <c r="N76" s="198"/>
      <c r="O76" s="198"/>
      <c r="P76" s="198"/>
      <c r="Q76" s="198"/>
      <c r="R76" s="200"/>
      <c r="AK76" s="698"/>
      <c r="AL76" s="366" t="s">
        <v>457</v>
      </c>
      <c r="AM76" s="198"/>
      <c r="AN76" s="198"/>
      <c r="AO76" s="198"/>
      <c r="AP76" s="198"/>
      <c r="AQ76" s="200"/>
    </row>
    <row r="77" spans="12:43" x14ac:dyDescent="0.25">
      <c r="L77" s="698"/>
      <c r="M77" s="366" t="s">
        <v>468</v>
      </c>
      <c r="N77" s="198"/>
      <c r="O77" s="198" t="s">
        <v>71</v>
      </c>
      <c r="P77" s="198">
        <v>0</v>
      </c>
      <c r="Q77" s="198"/>
      <c r="R77" s="200"/>
      <c r="AK77" s="698"/>
      <c r="AL77" s="366" t="s">
        <v>468</v>
      </c>
      <c r="AM77" s="198"/>
      <c r="AN77" s="198" t="s">
        <v>71</v>
      </c>
      <c r="AO77" s="198">
        <v>0</v>
      </c>
      <c r="AP77" s="198"/>
      <c r="AQ77" s="200"/>
    </row>
    <row r="78" spans="12:43" x14ac:dyDescent="0.25">
      <c r="L78" s="381"/>
      <c r="M78" s="376"/>
      <c r="N78" s="377"/>
      <c r="O78" s="377"/>
      <c r="P78" s="377"/>
      <c r="Q78" s="377"/>
      <c r="R78" s="382"/>
      <c r="AK78" s="381"/>
      <c r="AL78" s="376"/>
      <c r="AM78" s="377"/>
      <c r="AN78" s="377"/>
      <c r="AO78" s="377"/>
      <c r="AP78" s="377"/>
      <c r="AQ78" s="382"/>
    </row>
    <row r="79" spans="12:43" x14ac:dyDescent="0.25">
      <c r="L79" s="697" t="s">
        <v>440</v>
      </c>
      <c r="M79" s="374" t="s">
        <v>469</v>
      </c>
      <c r="N79" s="375"/>
      <c r="O79" s="375"/>
      <c r="P79" s="375"/>
      <c r="Q79" s="375" t="s">
        <v>442</v>
      </c>
      <c r="R79" s="383"/>
      <c r="AK79" s="697" t="s">
        <v>440</v>
      </c>
      <c r="AL79" s="374" t="s">
        <v>469</v>
      </c>
      <c r="AM79" s="375"/>
      <c r="AN79" s="375"/>
      <c r="AO79" s="375"/>
      <c r="AP79" s="375" t="s">
        <v>442</v>
      </c>
      <c r="AQ79" s="383"/>
    </row>
    <row r="80" spans="12:43" x14ac:dyDescent="0.25">
      <c r="L80" s="698"/>
      <c r="M80" s="366" t="s">
        <v>470</v>
      </c>
      <c r="N80" s="198"/>
      <c r="O80" s="198"/>
      <c r="P80" s="198"/>
      <c r="Q80" s="198"/>
      <c r="R80" s="200"/>
      <c r="AK80" s="698"/>
      <c r="AL80" s="366" t="s">
        <v>470</v>
      </c>
      <c r="AM80" s="198"/>
      <c r="AN80" s="198"/>
      <c r="AO80" s="198"/>
      <c r="AP80" s="198"/>
      <c r="AQ80" s="200"/>
    </row>
    <row r="81" spans="12:43" x14ac:dyDescent="0.25">
      <c r="L81" s="698"/>
      <c r="M81" s="366" t="s">
        <v>471</v>
      </c>
      <c r="N81" s="198">
        <v>0.99960000000000004</v>
      </c>
      <c r="O81" s="198"/>
      <c r="P81" s="198"/>
      <c r="Q81" s="198"/>
      <c r="R81" s="200"/>
      <c r="AK81" s="698"/>
      <c r="AL81" s="366" t="s">
        <v>471</v>
      </c>
      <c r="AM81" s="198">
        <v>0.99960000000000004</v>
      </c>
      <c r="AN81" s="198"/>
      <c r="AO81" s="198"/>
      <c r="AP81" s="198"/>
      <c r="AQ81" s="200"/>
    </row>
    <row r="82" spans="12:43" x14ac:dyDescent="0.25">
      <c r="L82" s="698"/>
      <c r="M82" s="366" t="s">
        <v>472</v>
      </c>
      <c r="N82" s="198">
        <v>0</v>
      </c>
      <c r="O82" s="198" t="s">
        <v>473</v>
      </c>
      <c r="P82" s="198"/>
      <c r="Q82" s="198"/>
      <c r="R82" s="200"/>
      <c r="AK82" s="698"/>
      <c r="AL82" s="366" t="s">
        <v>472</v>
      </c>
      <c r="AM82" s="198">
        <v>0</v>
      </c>
      <c r="AN82" s="198" t="s">
        <v>473</v>
      </c>
      <c r="AO82" s="198"/>
      <c r="AP82" s="198"/>
      <c r="AQ82" s="200"/>
    </row>
    <row r="83" spans="12:43" x14ac:dyDescent="0.25">
      <c r="L83" s="698"/>
      <c r="M83" s="366" t="s">
        <v>474</v>
      </c>
      <c r="N83" s="198">
        <v>510</v>
      </c>
      <c r="O83" s="198" t="s">
        <v>475</v>
      </c>
      <c r="P83" s="198"/>
      <c r="Q83" s="198"/>
      <c r="R83" s="200"/>
      <c r="AK83" s="698"/>
      <c r="AL83" s="366" t="s">
        <v>474</v>
      </c>
      <c r="AM83" s="198">
        <v>510</v>
      </c>
      <c r="AN83" s="198" t="s">
        <v>475</v>
      </c>
      <c r="AO83" s="198"/>
      <c r="AP83" s="198"/>
      <c r="AQ83" s="200"/>
    </row>
    <row r="84" spans="12:43" x14ac:dyDescent="0.25">
      <c r="L84" s="698"/>
      <c r="M84" s="366" t="s">
        <v>476</v>
      </c>
      <c r="N84" s="198">
        <v>0.59499999999999997</v>
      </c>
      <c r="O84" s="198" t="s">
        <v>71</v>
      </c>
      <c r="P84" s="198"/>
      <c r="Q84" s="198"/>
      <c r="R84" s="200"/>
      <c r="AK84" s="698"/>
      <c r="AL84" s="366" t="s">
        <v>476</v>
      </c>
      <c r="AM84" s="198">
        <v>0.109</v>
      </c>
      <c r="AN84" s="198" t="s">
        <v>71</v>
      </c>
      <c r="AO84" s="198"/>
      <c r="AP84" s="198"/>
      <c r="AQ84" s="200"/>
    </row>
    <row r="85" spans="12:43" x14ac:dyDescent="0.25">
      <c r="L85" s="698"/>
      <c r="M85" s="366" t="s">
        <v>466</v>
      </c>
      <c r="N85" s="198">
        <v>0</v>
      </c>
      <c r="O85" s="198"/>
      <c r="P85" s="198"/>
      <c r="Q85" s="198"/>
      <c r="R85" s="200"/>
      <c r="AK85" s="698"/>
      <c r="AL85" s="366" t="s">
        <v>466</v>
      </c>
      <c r="AM85" s="198">
        <v>0</v>
      </c>
      <c r="AN85" s="198"/>
      <c r="AO85" s="198"/>
      <c r="AP85" s="198"/>
      <c r="AQ85" s="200"/>
    </row>
    <row r="86" spans="12:43" x14ac:dyDescent="0.25">
      <c r="L86" s="698"/>
      <c r="M86" s="366" t="s">
        <v>467</v>
      </c>
      <c r="N86" s="373">
        <v>10</v>
      </c>
      <c r="O86" s="373" t="s">
        <v>445</v>
      </c>
      <c r="P86" s="373">
        <v>0</v>
      </c>
      <c r="Q86" s="373" t="s">
        <v>442</v>
      </c>
      <c r="R86" s="200">
        <v>100.41</v>
      </c>
      <c r="AK86" s="698"/>
      <c r="AL86" s="366" t="s">
        <v>467</v>
      </c>
      <c r="AM86" s="373">
        <v>10</v>
      </c>
      <c r="AN86" s="373" t="s">
        <v>445</v>
      </c>
      <c r="AO86" s="373">
        <v>0</v>
      </c>
      <c r="AP86" s="373" t="s">
        <v>442</v>
      </c>
      <c r="AQ86" s="200">
        <v>99.85</v>
      </c>
    </row>
    <row r="87" spans="12:43" x14ac:dyDescent="0.25">
      <c r="L87" s="698"/>
      <c r="M87" s="366" t="s">
        <v>457</v>
      </c>
      <c r="N87" s="198"/>
      <c r="O87" s="198"/>
      <c r="P87" s="198"/>
      <c r="Q87" s="198"/>
      <c r="R87" s="200"/>
      <c r="AK87" s="698"/>
      <c r="AL87" s="366" t="s">
        <v>457</v>
      </c>
      <c r="AM87" s="198"/>
      <c r="AN87" s="198"/>
      <c r="AO87" s="198"/>
      <c r="AP87" s="198"/>
      <c r="AQ87" s="200"/>
    </row>
    <row r="88" spans="12:43" x14ac:dyDescent="0.25">
      <c r="L88" s="698"/>
      <c r="M88" s="366" t="s">
        <v>468</v>
      </c>
      <c r="N88" s="198"/>
      <c r="O88" s="198" t="s">
        <v>71</v>
      </c>
      <c r="P88" s="198">
        <v>0</v>
      </c>
      <c r="Q88" s="198"/>
      <c r="R88" s="200"/>
      <c r="AK88" s="698"/>
      <c r="AL88" s="366" t="s">
        <v>468</v>
      </c>
      <c r="AM88" s="198"/>
      <c r="AN88" s="198" t="s">
        <v>71</v>
      </c>
      <c r="AO88" s="198">
        <v>0</v>
      </c>
      <c r="AP88" s="198"/>
      <c r="AQ88" s="200"/>
    </row>
    <row r="89" spans="12:43" x14ac:dyDescent="0.25">
      <c r="L89" s="381"/>
      <c r="M89" s="376"/>
      <c r="N89" s="377"/>
      <c r="O89" s="377"/>
      <c r="P89" s="377"/>
      <c r="Q89" s="377"/>
      <c r="R89" s="382"/>
      <c r="AK89" s="381"/>
      <c r="AL89" s="376"/>
      <c r="AM89" s="377"/>
      <c r="AN89" s="377"/>
      <c r="AO89" s="377"/>
      <c r="AP89" s="377"/>
      <c r="AQ89" s="382"/>
    </row>
    <row r="90" spans="12:43" x14ac:dyDescent="0.25">
      <c r="L90" s="697" t="s">
        <v>440</v>
      </c>
      <c r="M90" s="374" t="s">
        <v>477</v>
      </c>
      <c r="N90" s="375"/>
      <c r="O90" s="375"/>
      <c r="P90" s="375"/>
      <c r="Q90" s="375" t="s">
        <v>478</v>
      </c>
      <c r="R90" s="383"/>
      <c r="AK90" s="697" t="s">
        <v>440</v>
      </c>
      <c r="AL90" s="374" t="s">
        <v>477</v>
      </c>
      <c r="AM90" s="375"/>
      <c r="AN90" s="375"/>
      <c r="AO90" s="375"/>
      <c r="AP90" s="375" t="s">
        <v>442</v>
      </c>
      <c r="AQ90" s="383"/>
    </row>
    <row r="91" spans="12:43" ht="30" x14ac:dyDescent="0.25">
      <c r="L91" s="698"/>
      <c r="M91" s="366" t="s">
        <v>479</v>
      </c>
      <c r="N91" s="198"/>
      <c r="O91" s="198"/>
      <c r="P91" s="198"/>
      <c r="Q91" s="198"/>
      <c r="R91" s="200"/>
      <c r="AK91" s="698"/>
      <c r="AL91" s="366" t="s">
        <v>479</v>
      </c>
      <c r="AM91" s="198"/>
      <c r="AN91" s="198"/>
      <c r="AO91" s="198"/>
      <c r="AP91" s="198"/>
      <c r="AQ91" s="200"/>
    </row>
    <row r="92" spans="12:43" x14ac:dyDescent="0.25">
      <c r="L92" s="698"/>
      <c r="M92" s="366" t="s">
        <v>471</v>
      </c>
      <c r="N92" s="198">
        <v>0.99965999999999999</v>
      </c>
      <c r="O92" s="198"/>
      <c r="P92" s="198"/>
      <c r="Q92" s="198"/>
      <c r="R92" s="200"/>
      <c r="AK92" s="698"/>
      <c r="AL92" s="366" t="s">
        <v>471</v>
      </c>
      <c r="AM92" s="198">
        <v>0.99965999999999999</v>
      </c>
      <c r="AN92" s="198"/>
      <c r="AO92" s="198"/>
      <c r="AP92" s="198"/>
      <c r="AQ92" s="200"/>
    </row>
    <row r="93" spans="12:43" x14ac:dyDescent="0.25">
      <c r="L93" s="698"/>
      <c r="M93" s="366" t="s">
        <v>480</v>
      </c>
      <c r="N93" s="198">
        <v>504</v>
      </c>
      <c r="O93" s="198" t="s">
        <v>481</v>
      </c>
      <c r="P93" s="198"/>
      <c r="Q93" s="198"/>
      <c r="R93" s="200"/>
      <c r="AK93" s="698"/>
      <c r="AL93" s="366" t="s">
        <v>480</v>
      </c>
      <c r="AM93" s="198">
        <v>504</v>
      </c>
      <c r="AN93" s="198" t="s">
        <v>481</v>
      </c>
      <c r="AO93" s="198"/>
      <c r="AP93" s="198"/>
      <c r="AQ93" s="200"/>
    </row>
    <row r="94" spans="12:43" ht="30" x14ac:dyDescent="0.25">
      <c r="L94" s="698"/>
      <c r="M94" s="366" t="s">
        <v>482</v>
      </c>
      <c r="N94" s="198">
        <v>6</v>
      </c>
      <c r="O94" s="198" t="s">
        <v>71</v>
      </c>
      <c r="P94" s="198"/>
      <c r="Q94" s="198"/>
      <c r="R94" s="200"/>
      <c r="AK94" s="698"/>
      <c r="AL94" s="366" t="s">
        <v>482</v>
      </c>
      <c r="AM94" s="198">
        <v>6</v>
      </c>
      <c r="AN94" s="198" t="s">
        <v>71</v>
      </c>
      <c r="AO94" s="198"/>
      <c r="AP94" s="198"/>
      <c r="AQ94" s="200"/>
    </row>
    <row r="95" spans="12:43" x14ac:dyDescent="0.25">
      <c r="L95" s="698"/>
      <c r="M95" s="366" t="s">
        <v>483</v>
      </c>
      <c r="N95" s="198">
        <v>50</v>
      </c>
      <c r="O95" s="198" t="s">
        <v>117</v>
      </c>
      <c r="P95" s="198"/>
      <c r="Q95" s="198"/>
      <c r="R95" s="200"/>
      <c r="AK95" s="698"/>
      <c r="AL95" s="366" t="s">
        <v>483</v>
      </c>
      <c r="AM95" s="198">
        <v>50</v>
      </c>
      <c r="AN95" s="198" t="s">
        <v>117</v>
      </c>
      <c r="AO95" s="198"/>
      <c r="AP95" s="198"/>
      <c r="AQ95" s="200"/>
    </row>
    <row r="96" spans="12:43" ht="30" x14ac:dyDescent="0.25">
      <c r="L96" s="698"/>
      <c r="M96" s="366" t="s">
        <v>484</v>
      </c>
      <c r="N96" s="198">
        <v>0.44800000000000001</v>
      </c>
      <c r="O96" s="198" t="s">
        <v>71</v>
      </c>
      <c r="P96" s="198"/>
      <c r="Q96" s="198"/>
      <c r="R96" s="200"/>
      <c r="AK96" s="698"/>
      <c r="AL96" s="366" t="s">
        <v>484</v>
      </c>
      <c r="AM96" s="198">
        <v>1.6850000000000001</v>
      </c>
      <c r="AN96" s="198" t="s">
        <v>71</v>
      </c>
      <c r="AO96" s="198"/>
      <c r="AP96" s="198"/>
      <c r="AQ96" s="200"/>
    </row>
    <row r="97" spans="12:43" x14ac:dyDescent="0.25">
      <c r="L97" s="698"/>
      <c r="M97" s="366" t="s">
        <v>466</v>
      </c>
      <c r="N97" s="198">
        <v>0</v>
      </c>
      <c r="O97" s="198"/>
      <c r="P97" s="198"/>
      <c r="Q97" s="198"/>
      <c r="R97" s="200"/>
      <c r="AK97" s="698"/>
      <c r="AL97" s="366" t="s">
        <v>466</v>
      </c>
      <c r="AM97" s="198">
        <v>0</v>
      </c>
      <c r="AN97" s="198"/>
      <c r="AO97" s="198"/>
      <c r="AP97" s="198"/>
      <c r="AQ97" s="200"/>
    </row>
    <row r="98" spans="12:43" x14ac:dyDescent="0.25">
      <c r="L98" s="698"/>
      <c r="M98" s="366" t="s">
        <v>485</v>
      </c>
      <c r="N98" s="198">
        <v>1.5</v>
      </c>
      <c r="O98" s="198"/>
      <c r="P98" s="198"/>
      <c r="Q98" s="198"/>
      <c r="R98" s="200"/>
      <c r="AK98" s="698"/>
      <c r="AL98" s="366" t="s">
        <v>485</v>
      </c>
      <c r="AM98" s="198">
        <v>1.5</v>
      </c>
      <c r="AN98" s="198"/>
      <c r="AO98" s="198"/>
      <c r="AP98" s="198"/>
      <c r="AQ98" s="200"/>
    </row>
    <row r="99" spans="12:43" x14ac:dyDescent="0.25">
      <c r="L99" s="698"/>
      <c r="M99" s="366" t="s">
        <v>486</v>
      </c>
      <c r="N99" s="198"/>
      <c r="O99" s="198"/>
      <c r="P99" s="198"/>
      <c r="Q99" s="198"/>
      <c r="R99" s="200"/>
      <c r="AK99" s="698"/>
      <c r="AL99" s="366" t="s">
        <v>486</v>
      </c>
      <c r="AM99" s="198"/>
      <c r="AN99" s="198"/>
      <c r="AO99" s="198"/>
      <c r="AP99" s="198"/>
      <c r="AQ99" s="200"/>
    </row>
    <row r="100" spans="12:43" ht="30" x14ac:dyDescent="0.25">
      <c r="L100" s="698"/>
      <c r="M100" s="366" t="s">
        <v>487</v>
      </c>
      <c r="N100" s="198" t="s">
        <v>600</v>
      </c>
      <c r="O100" s="198" t="s">
        <v>445</v>
      </c>
      <c r="P100" s="198">
        <v>-19.5</v>
      </c>
      <c r="Q100" s="198"/>
      <c r="R100" s="200"/>
      <c r="AK100" s="698"/>
      <c r="AL100" s="366" t="s">
        <v>487</v>
      </c>
      <c r="AM100" s="198" t="s">
        <v>598</v>
      </c>
      <c r="AN100" s="198" t="s">
        <v>445</v>
      </c>
      <c r="AO100" s="198">
        <v>-23.2</v>
      </c>
      <c r="AP100" s="198"/>
      <c r="AQ100" s="200"/>
    </row>
    <row r="101" spans="12:43" ht="30" x14ac:dyDescent="0.25">
      <c r="L101" s="698"/>
      <c r="M101" s="366" t="s">
        <v>488</v>
      </c>
      <c r="N101" s="198"/>
      <c r="O101" s="198"/>
      <c r="P101" s="198"/>
      <c r="Q101" s="198"/>
      <c r="R101" s="200"/>
      <c r="AK101" s="698"/>
      <c r="AL101" s="366" t="s">
        <v>488</v>
      </c>
      <c r="AM101" s="198"/>
      <c r="AN101" s="198"/>
      <c r="AO101" s="198"/>
      <c r="AP101" s="198"/>
      <c r="AQ101" s="200"/>
    </row>
    <row r="102" spans="12:43" x14ac:dyDescent="0.25">
      <c r="L102" s="698"/>
      <c r="M102" s="366" t="s">
        <v>444</v>
      </c>
      <c r="N102" s="198">
        <v>50</v>
      </c>
      <c r="O102" s="198" t="s">
        <v>445</v>
      </c>
      <c r="P102" s="198">
        <v>50</v>
      </c>
      <c r="Q102" s="198"/>
      <c r="R102" s="200"/>
      <c r="AK102" s="698"/>
      <c r="AL102" s="366" t="s">
        <v>444</v>
      </c>
      <c r="AM102" s="198">
        <v>50</v>
      </c>
      <c r="AN102" s="198" t="s">
        <v>445</v>
      </c>
      <c r="AO102" s="198">
        <v>50</v>
      </c>
      <c r="AP102" s="198"/>
      <c r="AQ102" s="200"/>
    </row>
    <row r="103" spans="12:43" x14ac:dyDescent="0.25">
      <c r="L103" s="698"/>
      <c r="M103" s="366" t="s">
        <v>451</v>
      </c>
      <c r="N103" s="198" t="s">
        <v>452</v>
      </c>
      <c r="O103" s="198" t="s">
        <v>445</v>
      </c>
      <c r="P103" s="198"/>
      <c r="Q103" s="198"/>
      <c r="R103" s="200"/>
      <c r="AK103" s="698"/>
      <c r="AL103" s="366" t="s">
        <v>451</v>
      </c>
      <c r="AM103" s="198" t="s">
        <v>452</v>
      </c>
      <c r="AN103" s="198" t="s">
        <v>445</v>
      </c>
      <c r="AO103" s="198"/>
      <c r="AP103" s="198"/>
      <c r="AQ103" s="200"/>
    </row>
    <row r="104" spans="12:43" ht="30" x14ac:dyDescent="0.25">
      <c r="L104" s="698"/>
      <c r="M104" s="366" t="s">
        <v>489</v>
      </c>
      <c r="N104" s="198">
        <v>121.2</v>
      </c>
      <c r="O104" s="198" t="s">
        <v>445</v>
      </c>
      <c r="P104" s="198"/>
      <c r="Q104" s="198"/>
      <c r="R104" s="200"/>
      <c r="AK104" s="698"/>
      <c r="AL104" s="366" t="s">
        <v>489</v>
      </c>
      <c r="AM104" s="198">
        <v>149.69999999999999</v>
      </c>
      <c r="AN104" s="198" t="s">
        <v>445</v>
      </c>
      <c r="AO104" s="198"/>
      <c r="AP104" s="198"/>
      <c r="AQ104" s="200"/>
    </row>
    <row r="105" spans="12:43" ht="30" x14ac:dyDescent="0.25">
      <c r="L105" s="698"/>
      <c r="M105" s="366" t="s">
        <v>490</v>
      </c>
      <c r="N105" s="198"/>
      <c r="O105" s="198"/>
      <c r="P105" s="198"/>
      <c r="Q105" s="198"/>
      <c r="R105" s="200"/>
      <c r="AK105" s="698"/>
      <c r="AL105" s="366" t="s">
        <v>490</v>
      </c>
      <c r="AM105" s="198"/>
      <c r="AN105" s="198"/>
      <c r="AO105" s="198"/>
      <c r="AP105" s="198"/>
      <c r="AQ105" s="200"/>
    </row>
    <row r="106" spans="12:43" x14ac:dyDescent="0.25">
      <c r="L106" s="698"/>
      <c r="M106" s="366" t="s">
        <v>456</v>
      </c>
      <c r="N106" s="198">
        <v>87.3</v>
      </c>
      <c r="O106" s="198" t="s">
        <v>445</v>
      </c>
      <c r="P106" s="198">
        <v>87.3</v>
      </c>
      <c r="Q106" s="198"/>
      <c r="R106" s="200"/>
      <c r="AK106" s="698"/>
      <c r="AL106" s="366" t="s">
        <v>456</v>
      </c>
      <c r="AM106" s="198">
        <v>99.1</v>
      </c>
      <c r="AN106" s="198" t="s">
        <v>445</v>
      </c>
      <c r="AO106" s="198">
        <v>99.1</v>
      </c>
      <c r="AP106" s="198"/>
      <c r="AQ106" s="200"/>
    </row>
    <row r="107" spans="12:43" ht="30" x14ac:dyDescent="0.25">
      <c r="L107" s="698"/>
      <c r="M107" s="366" t="s">
        <v>491</v>
      </c>
      <c r="N107" s="198" t="s">
        <v>492</v>
      </c>
      <c r="O107" s="198"/>
      <c r="P107" s="198"/>
      <c r="Q107" s="198"/>
      <c r="R107" s="200"/>
      <c r="AK107" s="698"/>
      <c r="AL107" s="366" t="s">
        <v>491</v>
      </c>
      <c r="AM107" s="198" t="s">
        <v>492</v>
      </c>
      <c r="AN107" s="198"/>
      <c r="AO107" s="198"/>
      <c r="AP107" s="198"/>
      <c r="AQ107" s="200"/>
    </row>
    <row r="108" spans="12:43" x14ac:dyDescent="0.25">
      <c r="L108" s="698"/>
      <c r="M108" s="366" t="s">
        <v>493</v>
      </c>
      <c r="N108" s="198"/>
      <c r="O108" s="198"/>
      <c r="P108" s="198"/>
      <c r="Q108" s="198" t="s">
        <v>478</v>
      </c>
      <c r="R108" s="200"/>
      <c r="AK108" s="698"/>
      <c r="AL108" s="366" t="s">
        <v>493</v>
      </c>
      <c r="AM108" s="198"/>
      <c r="AN108" s="198"/>
      <c r="AO108" s="198"/>
      <c r="AP108" s="198" t="s">
        <v>442</v>
      </c>
      <c r="AQ108" s="200"/>
    </row>
    <row r="109" spans="12:43" ht="30" x14ac:dyDescent="0.25">
      <c r="L109" s="698"/>
      <c r="M109" s="366" t="s">
        <v>494</v>
      </c>
      <c r="N109" s="373">
        <v>16</v>
      </c>
      <c r="O109" s="373" t="s">
        <v>445</v>
      </c>
      <c r="P109" s="373">
        <v>5.5</v>
      </c>
      <c r="Q109" s="373" t="s">
        <v>442</v>
      </c>
      <c r="R109" s="200">
        <v>65.53</v>
      </c>
      <c r="AK109" s="698"/>
      <c r="AL109" s="366" t="s">
        <v>494</v>
      </c>
      <c r="AM109" s="373">
        <v>16</v>
      </c>
      <c r="AN109" s="373" t="s">
        <v>445</v>
      </c>
      <c r="AO109" s="373">
        <v>1.8</v>
      </c>
      <c r="AP109" s="373" t="s">
        <v>442</v>
      </c>
      <c r="AQ109" s="200">
        <v>88.53</v>
      </c>
    </row>
    <row r="110" spans="12:43" ht="45" x14ac:dyDescent="0.25">
      <c r="L110" s="698"/>
      <c r="M110" s="366" t="s">
        <v>495</v>
      </c>
      <c r="N110" s="373">
        <v>80</v>
      </c>
      <c r="O110" s="373" t="s">
        <v>475</v>
      </c>
      <c r="P110" s="373">
        <v>51.85</v>
      </c>
      <c r="Q110" s="373" t="s">
        <v>442</v>
      </c>
      <c r="R110" s="200">
        <v>35.19</v>
      </c>
      <c r="AK110" s="698"/>
      <c r="AL110" s="366" t="s">
        <v>495</v>
      </c>
      <c r="AM110" s="373">
        <v>80</v>
      </c>
      <c r="AN110" s="373" t="s">
        <v>475</v>
      </c>
      <c r="AO110" s="373">
        <v>18.079999999999998</v>
      </c>
      <c r="AP110" s="373" t="s">
        <v>442</v>
      </c>
      <c r="AQ110" s="200">
        <v>77.400000000000006</v>
      </c>
    </row>
    <row r="111" spans="12:43" x14ac:dyDescent="0.25">
      <c r="L111" s="698"/>
      <c r="M111" s="366" t="s">
        <v>496</v>
      </c>
      <c r="N111" s="373">
        <v>100</v>
      </c>
      <c r="O111" s="373" t="s">
        <v>475</v>
      </c>
      <c r="P111" s="373">
        <v>97.69</v>
      </c>
      <c r="Q111" s="373" t="s">
        <v>478</v>
      </c>
      <c r="R111" s="200">
        <v>-2.31</v>
      </c>
      <c r="AK111" s="698"/>
      <c r="AL111" s="366" t="s">
        <v>496</v>
      </c>
      <c r="AM111" s="373">
        <v>100</v>
      </c>
      <c r="AN111" s="373" t="s">
        <v>475</v>
      </c>
      <c r="AO111" s="373">
        <v>218.15</v>
      </c>
      <c r="AP111" s="373" t="s">
        <v>442</v>
      </c>
      <c r="AQ111" s="200">
        <v>118.15</v>
      </c>
    </row>
    <row r="112" spans="12:43" x14ac:dyDescent="0.25">
      <c r="L112" s="698"/>
      <c r="M112" s="366" t="s">
        <v>457</v>
      </c>
      <c r="N112" s="198"/>
      <c r="O112" s="198"/>
      <c r="P112" s="198"/>
      <c r="Q112" s="198"/>
      <c r="R112" s="200"/>
      <c r="AK112" s="698"/>
      <c r="AL112" s="366" t="s">
        <v>457</v>
      </c>
      <c r="AM112" s="198"/>
      <c r="AN112" s="198"/>
      <c r="AO112" s="198"/>
      <c r="AP112" s="198"/>
      <c r="AQ112" s="200"/>
    </row>
    <row r="113" spans="12:43" x14ac:dyDescent="0.25">
      <c r="L113" s="698"/>
      <c r="M113" s="366" t="s">
        <v>497</v>
      </c>
      <c r="N113" s="198"/>
      <c r="O113" s="198" t="s">
        <v>117</v>
      </c>
      <c r="P113" s="198">
        <v>151.03800000000001</v>
      </c>
      <c r="Q113" s="198"/>
      <c r="R113" s="200"/>
      <c r="AK113" s="698"/>
      <c r="AL113" s="366" t="s">
        <v>497</v>
      </c>
      <c r="AM113" s="198"/>
      <c r="AN113" s="198" t="s">
        <v>117</v>
      </c>
      <c r="AO113" s="198">
        <v>153.75700000000001</v>
      </c>
      <c r="AP113" s="198"/>
      <c r="AQ113" s="200"/>
    </row>
    <row r="114" spans="12:43" ht="30" x14ac:dyDescent="0.25">
      <c r="L114" s="698"/>
      <c r="M114" s="366" t="s">
        <v>498</v>
      </c>
      <c r="N114" s="198"/>
      <c r="O114" s="198" t="s">
        <v>71</v>
      </c>
      <c r="P114" s="198">
        <v>3.923</v>
      </c>
      <c r="Q114" s="198"/>
      <c r="R114" s="200"/>
      <c r="AK114" s="698"/>
      <c r="AL114" s="366" t="s">
        <v>498</v>
      </c>
      <c r="AM114" s="198"/>
      <c r="AN114" s="198" t="s">
        <v>71</v>
      </c>
      <c r="AO114" s="198">
        <v>6.6509999999999998</v>
      </c>
      <c r="AP114" s="198"/>
      <c r="AQ114" s="200"/>
    </row>
    <row r="115" spans="12:43" x14ac:dyDescent="0.25">
      <c r="L115" s="698"/>
      <c r="M115" s="366" t="s">
        <v>499</v>
      </c>
      <c r="N115" s="198"/>
      <c r="O115" s="198" t="s">
        <v>117</v>
      </c>
      <c r="P115" s="198">
        <v>201.03800000000001</v>
      </c>
      <c r="Q115" s="198"/>
      <c r="R115" s="200"/>
      <c r="AK115" s="698"/>
      <c r="AL115" s="366" t="s">
        <v>499</v>
      </c>
      <c r="AM115" s="198"/>
      <c r="AN115" s="198" t="s">
        <v>117</v>
      </c>
      <c r="AO115" s="198">
        <v>203.75700000000001</v>
      </c>
      <c r="AP115" s="198"/>
      <c r="AQ115" s="200"/>
    </row>
    <row r="116" spans="12:43" ht="30" x14ac:dyDescent="0.25">
      <c r="L116" s="698"/>
      <c r="M116" s="366" t="s">
        <v>500</v>
      </c>
      <c r="N116" s="198"/>
      <c r="O116" s="198" t="s">
        <v>71</v>
      </c>
      <c r="P116" s="198">
        <v>4.4400000000000004</v>
      </c>
      <c r="Q116" s="198"/>
      <c r="R116" s="200"/>
      <c r="AK116" s="698"/>
      <c r="AL116" s="366" t="s">
        <v>500</v>
      </c>
      <c r="AM116" s="198"/>
      <c r="AN116" s="198" t="s">
        <v>71</v>
      </c>
      <c r="AO116" s="198">
        <v>6.4909999999999997</v>
      </c>
      <c r="AP116" s="198"/>
      <c r="AQ116" s="200"/>
    </row>
    <row r="117" spans="12:43" x14ac:dyDescent="0.25">
      <c r="L117" s="698"/>
      <c r="M117" s="366" t="s">
        <v>468</v>
      </c>
      <c r="N117" s="198"/>
      <c r="O117" s="198" t="s">
        <v>71</v>
      </c>
      <c r="P117" s="198">
        <v>0.39600000000000002</v>
      </c>
      <c r="Q117" s="198"/>
      <c r="R117" s="200"/>
      <c r="AK117" s="698"/>
      <c r="AL117" s="366" t="s">
        <v>468</v>
      </c>
      <c r="AM117" s="198"/>
      <c r="AN117" s="198" t="s">
        <v>71</v>
      </c>
      <c r="AO117" s="198">
        <v>0.36699999999999999</v>
      </c>
      <c r="AP117" s="198"/>
      <c r="AQ117" s="200"/>
    </row>
    <row r="118" spans="12:43" x14ac:dyDescent="0.25">
      <c r="L118" s="698"/>
      <c r="M118" s="366" t="s">
        <v>501</v>
      </c>
      <c r="N118" s="198"/>
      <c r="O118" s="198" t="s">
        <v>445</v>
      </c>
      <c r="P118" s="198">
        <v>5.5</v>
      </c>
      <c r="Q118" s="198"/>
      <c r="R118" s="200"/>
      <c r="AK118" s="698"/>
      <c r="AL118" s="366" t="s">
        <v>501</v>
      </c>
      <c r="AM118" s="198"/>
      <c r="AN118" s="198" t="s">
        <v>445</v>
      </c>
      <c r="AO118" s="198">
        <v>1.8</v>
      </c>
      <c r="AP118" s="198"/>
      <c r="AQ118" s="200"/>
    </row>
    <row r="119" spans="12:43" x14ac:dyDescent="0.25">
      <c r="L119" s="698"/>
      <c r="M119" s="366" t="s">
        <v>502</v>
      </c>
      <c r="N119" s="198"/>
      <c r="O119" s="198" t="s">
        <v>445</v>
      </c>
      <c r="P119" s="198">
        <v>8.5</v>
      </c>
      <c r="Q119" s="198"/>
      <c r="R119" s="200"/>
      <c r="AK119" s="698"/>
      <c r="AL119" s="366" t="s">
        <v>502</v>
      </c>
      <c r="AM119" s="198"/>
      <c r="AN119" s="198" t="s">
        <v>445</v>
      </c>
      <c r="AO119" s="198">
        <v>2.7</v>
      </c>
      <c r="AP119" s="198"/>
      <c r="AQ119" s="200"/>
    </row>
    <row r="120" spans="12:43" x14ac:dyDescent="0.25">
      <c r="L120" s="698"/>
      <c r="M120" s="366" t="s">
        <v>503</v>
      </c>
      <c r="N120" s="198"/>
      <c r="O120" s="198" t="s">
        <v>445</v>
      </c>
      <c r="P120" s="198">
        <v>10.6</v>
      </c>
      <c r="Q120" s="198"/>
      <c r="R120" s="200"/>
      <c r="AK120" s="698"/>
      <c r="AL120" s="366" t="s">
        <v>503</v>
      </c>
      <c r="AM120" s="198"/>
      <c r="AN120" s="198" t="s">
        <v>445</v>
      </c>
      <c r="AO120" s="198">
        <v>10.199999999999999</v>
      </c>
      <c r="AP120" s="198"/>
      <c r="AQ120" s="200"/>
    </row>
    <row r="121" spans="12:43" x14ac:dyDescent="0.25">
      <c r="L121" s="698"/>
      <c r="M121" s="366" t="s">
        <v>504</v>
      </c>
      <c r="N121" s="198"/>
      <c r="O121" s="198" t="s">
        <v>449</v>
      </c>
      <c r="P121" s="198">
        <v>49.655200000000001</v>
      </c>
      <c r="Q121" s="198"/>
      <c r="R121" s="200"/>
      <c r="AK121" s="698"/>
      <c r="AL121" s="366" t="s">
        <v>504</v>
      </c>
      <c r="AM121" s="198"/>
      <c r="AN121" s="198" t="s">
        <v>449</v>
      </c>
      <c r="AO121" s="198">
        <v>174.3229</v>
      </c>
      <c r="AP121" s="198"/>
      <c r="AQ121" s="200"/>
    </row>
    <row r="122" spans="12:43" x14ac:dyDescent="0.25">
      <c r="L122" s="698"/>
      <c r="M122" s="366" t="s">
        <v>505</v>
      </c>
      <c r="N122" s="198"/>
      <c r="O122" s="198" t="s">
        <v>449</v>
      </c>
      <c r="P122" s="198">
        <v>24.6706</v>
      </c>
      <c r="Q122" s="198"/>
      <c r="R122" s="200"/>
      <c r="AK122" s="698"/>
      <c r="AL122" s="366" t="s">
        <v>505</v>
      </c>
      <c r="AM122" s="198"/>
      <c r="AN122" s="198" t="s">
        <v>449</v>
      </c>
      <c r="AO122" s="198">
        <v>26.049399999999999</v>
      </c>
      <c r="AP122" s="198"/>
      <c r="AQ122" s="200"/>
    </row>
    <row r="123" spans="12:43" x14ac:dyDescent="0.25">
      <c r="L123" s="698"/>
      <c r="M123" s="366" t="s">
        <v>506</v>
      </c>
      <c r="N123" s="198"/>
      <c r="O123" s="198" t="s">
        <v>449</v>
      </c>
      <c r="P123" s="198">
        <v>24.9846</v>
      </c>
      <c r="Q123" s="198"/>
      <c r="R123" s="200"/>
      <c r="AK123" s="698"/>
      <c r="AL123" s="366" t="s">
        <v>506</v>
      </c>
      <c r="AM123" s="198"/>
      <c r="AN123" s="198" t="s">
        <v>449</v>
      </c>
      <c r="AO123" s="198">
        <v>148.27359999999999</v>
      </c>
      <c r="AP123" s="198"/>
      <c r="AQ123" s="200"/>
    </row>
    <row r="124" spans="12:43" x14ac:dyDescent="0.25">
      <c r="L124" s="698"/>
      <c r="M124" s="366" t="s">
        <v>507</v>
      </c>
      <c r="N124" s="198"/>
      <c r="O124" s="198" t="s">
        <v>449</v>
      </c>
      <c r="P124" s="198">
        <v>-8.9370999999999992</v>
      </c>
      <c r="Q124" s="198"/>
      <c r="R124" s="200"/>
      <c r="AK124" s="698"/>
      <c r="AL124" s="366" t="s">
        <v>507</v>
      </c>
      <c r="AM124" s="198"/>
      <c r="AN124" s="198" t="s">
        <v>449</v>
      </c>
      <c r="AO124" s="198">
        <v>-53.686999999999998</v>
      </c>
      <c r="AP124" s="198"/>
      <c r="AQ124" s="200"/>
    </row>
    <row r="125" spans="12:43" x14ac:dyDescent="0.25">
      <c r="L125" s="698"/>
      <c r="M125" s="366" t="s">
        <v>508</v>
      </c>
      <c r="N125" s="198"/>
      <c r="O125" s="198" t="s">
        <v>449</v>
      </c>
      <c r="P125" s="198">
        <v>16.6388</v>
      </c>
      <c r="Q125" s="198"/>
      <c r="R125" s="200"/>
      <c r="AK125" s="698"/>
      <c r="AL125" s="366" t="s">
        <v>508</v>
      </c>
      <c r="AM125" s="198"/>
      <c r="AN125" s="198" t="s">
        <v>449</v>
      </c>
      <c r="AO125" s="198">
        <v>14.2803</v>
      </c>
      <c r="AP125" s="198"/>
      <c r="AQ125" s="200"/>
    </row>
    <row r="126" spans="12:43" ht="15.75" thickBot="1" x14ac:dyDescent="0.3">
      <c r="L126" s="699"/>
      <c r="M126" s="370" t="s">
        <v>509</v>
      </c>
      <c r="N126" s="371"/>
      <c r="O126" s="371" t="s">
        <v>449</v>
      </c>
      <c r="P126" s="371">
        <v>25.575900000000001</v>
      </c>
      <c r="Q126" s="371"/>
      <c r="R126" s="372"/>
      <c r="AK126" s="699"/>
      <c r="AL126" s="370" t="s">
        <v>509</v>
      </c>
      <c r="AM126" s="371"/>
      <c r="AN126" s="371" t="s">
        <v>449</v>
      </c>
      <c r="AO126" s="371">
        <v>67.967299999999994</v>
      </c>
      <c r="AP126" s="371"/>
      <c r="AQ126" s="372"/>
    </row>
  </sheetData>
  <mergeCells count="39">
    <mergeCell ref="L79:L88"/>
    <mergeCell ref="L90:L126"/>
    <mergeCell ref="L34:L41"/>
    <mergeCell ref="L43:L50"/>
    <mergeCell ref="L52:L60"/>
    <mergeCell ref="L62:L63"/>
    <mergeCell ref="L65:L67"/>
    <mergeCell ref="L69:L77"/>
    <mergeCell ref="L26:L32"/>
    <mergeCell ref="B6:C6"/>
    <mergeCell ref="M6:AI7"/>
    <mergeCell ref="B7:C7"/>
    <mergeCell ref="B8:C8"/>
    <mergeCell ref="M8:M9"/>
    <mergeCell ref="N8:AI8"/>
    <mergeCell ref="B9:C9"/>
    <mergeCell ref="B10:C10"/>
    <mergeCell ref="B11:C11"/>
    <mergeCell ref="B12:C12"/>
    <mergeCell ref="B13:C13"/>
    <mergeCell ref="B14:B16"/>
    <mergeCell ref="B2:J2"/>
    <mergeCell ref="B3:C5"/>
    <mergeCell ref="D3:F5"/>
    <mergeCell ref="G3:J3"/>
    <mergeCell ref="G4:H4"/>
    <mergeCell ref="I4:J4"/>
    <mergeCell ref="AL6:BH7"/>
    <mergeCell ref="AL8:AL9"/>
    <mergeCell ref="AM8:BH8"/>
    <mergeCell ref="AK26:AK32"/>
    <mergeCell ref="AK34:AK41"/>
    <mergeCell ref="AK79:AK88"/>
    <mergeCell ref="AK90:AK126"/>
    <mergeCell ref="AK43:AK50"/>
    <mergeCell ref="AK52:AK60"/>
    <mergeCell ref="AK62:AK63"/>
    <mergeCell ref="AK65:AK67"/>
    <mergeCell ref="AK69:AK7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2369F-8B2C-4FB0-8372-2027A1C506B9}">
  <sheetPr>
    <tabColor rgb="FF00B050"/>
  </sheetPr>
  <dimension ref="A1:AD168"/>
  <sheetViews>
    <sheetView topLeftCell="A139" zoomScaleNormal="100" workbookViewId="0">
      <selection activeCell="E149" sqref="E149"/>
    </sheetView>
  </sheetViews>
  <sheetFormatPr defaultColWidth="8.85546875" defaultRowHeight="15" x14ac:dyDescent="0.25"/>
  <cols>
    <col min="1" max="1" width="8.85546875" style="29"/>
    <col min="2" max="2" width="4.42578125" style="29" customWidth="1"/>
    <col min="3" max="3" width="3.85546875" style="29" bestFit="1" customWidth="1"/>
    <col min="4" max="4" width="23.28515625" style="29" bestFit="1" customWidth="1"/>
    <col min="5" max="11" width="7.85546875" style="29" customWidth="1"/>
    <col min="12" max="14" width="4.42578125" style="29" customWidth="1"/>
    <col min="15" max="15" width="9.140625" style="33" customWidth="1"/>
    <col min="16" max="16" width="9.140625" style="29" customWidth="1"/>
    <col min="17" max="17" width="4.42578125" style="29" customWidth="1"/>
    <col min="18" max="18" width="3.85546875" style="29" bestFit="1" customWidth="1"/>
    <col min="19" max="19" width="23.28515625" style="29" bestFit="1" customWidth="1"/>
    <col min="20" max="26" width="7.85546875" style="29" customWidth="1"/>
    <col min="27" max="28" width="4.42578125" style="29" customWidth="1"/>
    <col min="29" max="16384" width="8.85546875" style="29"/>
  </cols>
  <sheetData>
    <row r="1" spans="1:28" x14ac:dyDescent="0.25">
      <c r="A1" s="29">
        <v>85</v>
      </c>
    </row>
    <row r="2" spans="1:28" ht="19.5" thickBot="1" x14ac:dyDescent="0.35">
      <c r="B2" s="492" t="s">
        <v>32</v>
      </c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30"/>
      <c r="N2" s="30"/>
      <c r="O2" s="74"/>
      <c r="Q2" s="492" t="s">
        <v>32</v>
      </c>
      <c r="R2" s="492"/>
      <c r="S2" s="492"/>
      <c r="T2" s="492"/>
      <c r="U2" s="492"/>
      <c r="V2" s="492"/>
      <c r="W2" s="492"/>
      <c r="X2" s="492"/>
      <c r="Y2" s="492"/>
      <c r="Z2" s="492"/>
      <c r="AA2" s="492"/>
      <c r="AB2" s="30"/>
    </row>
    <row r="3" spans="1:28" ht="15.75" thickBot="1" x14ac:dyDescent="0.3">
      <c r="B3" s="493" t="s">
        <v>33</v>
      </c>
      <c r="C3" s="494"/>
      <c r="D3" s="494"/>
      <c r="E3" s="494"/>
      <c r="F3" s="494"/>
      <c r="G3" s="494"/>
      <c r="H3" s="494"/>
      <c r="I3" s="494"/>
      <c r="J3" s="494"/>
      <c r="K3" s="494"/>
      <c r="L3" s="495"/>
      <c r="M3" s="56"/>
      <c r="N3" s="56"/>
      <c r="O3" s="75"/>
      <c r="Q3" s="493" t="s">
        <v>33</v>
      </c>
      <c r="R3" s="494"/>
      <c r="S3" s="494"/>
      <c r="T3" s="494"/>
      <c r="U3" s="494"/>
      <c r="V3" s="494"/>
      <c r="W3" s="494"/>
      <c r="X3" s="494"/>
      <c r="Y3" s="494"/>
      <c r="Z3" s="494"/>
      <c r="AA3" s="495"/>
      <c r="AB3" s="56"/>
    </row>
    <row r="4" spans="1:28" x14ac:dyDescent="0.25">
      <c r="B4" s="31"/>
      <c r="C4" s="32"/>
      <c r="D4" s="32"/>
      <c r="E4" s="32"/>
      <c r="F4" s="32"/>
      <c r="G4" s="32"/>
      <c r="H4" s="32"/>
      <c r="I4" s="32"/>
      <c r="J4" s="32"/>
      <c r="K4" s="32"/>
      <c r="L4" s="33"/>
      <c r="Q4" s="31"/>
      <c r="R4" s="32"/>
      <c r="S4" s="32"/>
      <c r="T4" s="32"/>
      <c r="U4" s="32"/>
      <c r="V4" s="32"/>
      <c r="W4" s="32"/>
      <c r="X4" s="32"/>
      <c r="Y4" s="32"/>
      <c r="Z4" s="32"/>
      <c r="AA4" s="33"/>
    </row>
    <row r="5" spans="1:28" s="34" customFormat="1" ht="28.5" x14ac:dyDescent="0.25">
      <c r="B5" s="35"/>
      <c r="C5" s="60" t="s">
        <v>1</v>
      </c>
      <c r="D5" s="60" t="s">
        <v>2</v>
      </c>
      <c r="E5" s="60" t="s">
        <v>3</v>
      </c>
      <c r="F5" s="60" t="s">
        <v>4</v>
      </c>
      <c r="G5" s="60" t="s">
        <v>5</v>
      </c>
      <c r="H5" s="60" t="s">
        <v>6</v>
      </c>
      <c r="I5" s="60" t="s">
        <v>7</v>
      </c>
      <c r="J5" s="60" t="s">
        <v>8</v>
      </c>
      <c r="K5" s="60" t="s">
        <v>34</v>
      </c>
      <c r="L5" s="36"/>
      <c r="O5" s="36"/>
      <c r="Q5" s="35"/>
      <c r="R5" s="60" t="s">
        <v>1</v>
      </c>
      <c r="S5" s="60" t="s">
        <v>2</v>
      </c>
      <c r="T5" s="60" t="s">
        <v>3</v>
      </c>
      <c r="U5" s="60" t="s">
        <v>4</v>
      </c>
      <c r="V5" s="60" t="s">
        <v>5</v>
      </c>
      <c r="W5" s="60" t="s">
        <v>6</v>
      </c>
      <c r="X5" s="60" t="s">
        <v>7</v>
      </c>
      <c r="Y5" s="60" t="s">
        <v>8</v>
      </c>
      <c r="Z5" s="60" t="s">
        <v>34</v>
      </c>
      <c r="AA5" s="36"/>
    </row>
    <row r="6" spans="1:28" x14ac:dyDescent="0.25">
      <c r="B6" s="31"/>
      <c r="C6" s="2">
        <v>1</v>
      </c>
      <c r="D6" s="4" t="str">
        <f>Sheet1!C5</f>
        <v>ADRIATIC PRINCESS III</v>
      </c>
      <c r="E6" s="4">
        <f>Sheet1!D5</f>
        <v>100</v>
      </c>
      <c r="F6" s="4">
        <f>Sheet1!E5</f>
        <v>30.7</v>
      </c>
      <c r="G6" s="4">
        <f>Sheet1!F5</f>
        <v>23.15</v>
      </c>
      <c r="H6" s="4">
        <f>Sheet1!G5</f>
        <v>6.92</v>
      </c>
      <c r="I6" s="4">
        <f>Sheet1!H5</f>
        <v>2.4300000000000002</v>
      </c>
      <c r="J6" s="4">
        <f>Sheet1!I5</f>
        <v>1.2</v>
      </c>
      <c r="K6" s="4">
        <f>Sheet1!J5</f>
        <v>15</v>
      </c>
      <c r="L6" s="33"/>
      <c r="M6" s="29">
        <f>G6*H6*J6*1*0.615</f>
        <v>118.22612399999997</v>
      </c>
      <c r="Q6" s="31"/>
      <c r="R6" s="2">
        <v>1</v>
      </c>
      <c r="S6" s="4" t="str">
        <f>Sheet1!C20</f>
        <v>ADNOC F02</v>
      </c>
      <c r="T6" s="4">
        <f>Sheet1!D20</f>
        <v>37</v>
      </c>
      <c r="U6" s="4">
        <f>Sheet1!E20</f>
        <v>33</v>
      </c>
      <c r="V6" s="4">
        <f>Sheet1!F20</f>
        <v>31.35</v>
      </c>
      <c r="W6" s="4">
        <f>Sheet1!G20</f>
        <v>8.5</v>
      </c>
      <c r="X6" s="4">
        <f>Sheet1!H20</f>
        <v>2.8</v>
      </c>
      <c r="Y6" s="4">
        <f>Sheet1!I20</f>
        <v>1.31</v>
      </c>
      <c r="Z6" s="4">
        <f>Sheet1!J20</f>
        <v>28</v>
      </c>
      <c r="AA6" s="33"/>
      <c r="AB6" s="29">
        <f>V6*W6*Y6*1*0.576</f>
        <v>201.07137600000001</v>
      </c>
    </row>
    <row r="7" spans="1:28" x14ac:dyDescent="0.25">
      <c r="B7" s="31"/>
      <c r="C7" s="2">
        <v>2</v>
      </c>
      <c r="D7" s="4" t="str">
        <f>Sheet1!C6</f>
        <v>AIGRETTE II</v>
      </c>
      <c r="E7" s="4">
        <f>Sheet1!D6</f>
        <v>38</v>
      </c>
      <c r="F7" s="4">
        <f>Sheet1!E6</f>
        <v>30.29</v>
      </c>
      <c r="G7" s="4">
        <f>Sheet1!F6</f>
        <v>25.5</v>
      </c>
      <c r="H7" s="4">
        <f>Sheet1!G6</f>
        <v>6.8</v>
      </c>
      <c r="I7" s="4">
        <f>Sheet1!H6</f>
        <v>2.77</v>
      </c>
      <c r="J7" s="4">
        <f>Sheet1!I6</f>
        <v>1.37</v>
      </c>
      <c r="K7" s="4">
        <f>Sheet1!J6</f>
        <v>10</v>
      </c>
      <c r="L7" s="33"/>
      <c r="M7" s="29">
        <f t="shared" ref="M7:M15" si="0">G7*H7*J7*1*0.615</f>
        <v>146.09817000000001</v>
      </c>
      <c r="Q7" s="31"/>
      <c r="R7" s="2">
        <v>2</v>
      </c>
      <c r="S7" s="4" t="str">
        <f>Sheet1!C21</f>
        <v>LILLEØRE</v>
      </c>
      <c r="T7" s="4">
        <f>Sheet1!D21</f>
        <v>35</v>
      </c>
      <c r="U7" s="4">
        <f>Sheet1!E21</f>
        <v>36</v>
      </c>
      <c r="V7" s="4">
        <f>Sheet1!F21</f>
        <v>35.4</v>
      </c>
      <c r="W7" s="4">
        <f>Sheet1!G21</f>
        <v>10</v>
      </c>
      <c r="X7" s="4">
        <f>Sheet1!H21</f>
        <v>2.7</v>
      </c>
      <c r="Y7" s="4">
        <f>Sheet1!I21</f>
        <v>1.2</v>
      </c>
      <c r="Z7" s="4">
        <f>Sheet1!J21</f>
        <v>29.5</v>
      </c>
      <c r="AA7" s="33"/>
      <c r="AB7" s="29">
        <f t="shared" ref="AB7:AB15" si="1">V7*W7*Y7*1*0.576</f>
        <v>244.6848</v>
      </c>
    </row>
    <row r="8" spans="1:28" x14ac:dyDescent="0.25">
      <c r="B8" s="31"/>
      <c r="C8" s="2">
        <v>3</v>
      </c>
      <c r="D8" s="4" t="str">
        <f>Sheet1!C7</f>
        <v>CAPITAINE NEMO</v>
      </c>
      <c r="E8" s="4">
        <f>Sheet1!D7</f>
        <v>152</v>
      </c>
      <c r="F8" s="4">
        <f>Sheet1!E7</f>
        <v>27</v>
      </c>
      <c r="G8" s="4">
        <f>Sheet1!F7</f>
        <v>24</v>
      </c>
      <c r="H8" s="4">
        <f>Sheet1!G7</f>
        <v>8.5</v>
      </c>
      <c r="I8" s="4">
        <f>Sheet1!H7</f>
        <v>3.2</v>
      </c>
      <c r="J8" s="4">
        <f>Sheet1!I7</f>
        <v>1.7</v>
      </c>
      <c r="K8" s="4">
        <f>Sheet1!J7</f>
        <v>12</v>
      </c>
      <c r="L8" s="33"/>
      <c r="M8" s="29">
        <f t="shared" si="0"/>
        <v>213.28200000000001</v>
      </c>
      <c r="Q8" s="31"/>
      <c r="R8" s="2">
        <v>3</v>
      </c>
      <c r="S8" s="4" t="str">
        <f>Sheet1!C22</f>
        <v>NAUTIKA</v>
      </c>
      <c r="T8" s="4">
        <f>Sheet1!D22</f>
        <v>37</v>
      </c>
      <c r="U8" s="4">
        <f>Sheet1!E22</f>
        <v>33</v>
      </c>
      <c r="V8" s="4">
        <f>Sheet1!F22</f>
        <v>32.700000000000003</v>
      </c>
      <c r="W8" s="4">
        <f>Sheet1!G22</f>
        <v>8.5</v>
      </c>
      <c r="X8" s="4">
        <f>Sheet1!H22</f>
        <v>2.8</v>
      </c>
      <c r="Y8" s="4">
        <f>Sheet1!I22</f>
        <v>1.31</v>
      </c>
      <c r="Z8" s="4">
        <f>Sheet1!J22</f>
        <v>28</v>
      </c>
      <c r="AA8" s="33"/>
      <c r="AB8" s="29">
        <f t="shared" si="1"/>
        <v>209.72995200000003</v>
      </c>
    </row>
    <row r="9" spans="1:28" x14ac:dyDescent="0.25">
      <c r="B9" s="31"/>
      <c r="C9" s="2">
        <v>4</v>
      </c>
      <c r="D9" s="4" t="str">
        <f>Sheet1!C8</f>
        <v>ARGYLL FLYER</v>
      </c>
      <c r="E9" s="4">
        <f>Sheet1!D8</f>
        <v>72</v>
      </c>
      <c r="F9" s="4">
        <f>Sheet1!E8</f>
        <v>30</v>
      </c>
      <c r="G9" s="4">
        <f>Sheet1!F8</f>
        <v>26.72</v>
      </c>
      <c r="H9" s="4">
        <f>Sheet1!G8</f>
        <v>7</v>
      </c>
      <c r="I9" s="4">
        <f>Sheet1!H8</f>
        <v>2.7</v>
      </c>
      <c r="J9" s="4">
        <f>Sheet1!I8</f>
        <v>1.25</v>
      </c>
      <c r="K9" s="4">
        <f>Sheet1!J8</f>
        <v>21.7</v>
      </c>
      <c r="L9" s="33"/>
      <c r="M9" s="29">
        <f t="shared" si="0"/>
        <v>143.78699999999998</v>
      </c>
      <c r="Q9" s="31"/>
      <c r="R9" s="2">
        <v>4</v>
      </c>
      <c r="S9" s="4" t="str">
        <f>Sheet1!C23</f>
        <v>QUEEN STAR 5</v>
      </c>
      <c r="T9" s="4">
        <f>Sheet1!D23</f>
        <v>31</v>
      </c>
      <c r="U9" s="4">
        <f>Sheet1!E23</f>
        <v>34.85</v>
      </c>
      <c r="V9" s="4">
        <f>Sheet1!F23</f>
        <v>30.1</v>
      </c>
      <c r="W9" s="4">
        <f>Sheet1!G23</f>
        <v>6.89</v>
      </c>
      <c r="X9" s="4">
        <f>Sheet1!H23</f>
        <v>1.19</v>
      </c>
      <c r="Y9" s="4">
        <f>Sheet1!I23</f>
        <v>1.19</v>
      </c>
      <c r="Z9" s="4">
        <f>Sheet1!J23</f>
        <v>28</v>
      </c>
      <c r="AA9" s="33"/>
      <c r="AB9" s="29">
        <f t="shared" si="1"/>
        <v>142.15271615999998</v>
      </c>
    </row>
    <row r="10" spans="1:28" x14ac:dyDescent="0.25">
      <c r="B10" s="31"/>
      <c r="C10" s="2">
        <v>5</v>
      </c>
      <c r="D10" s="4" t="str">
        <f>Sheet1!C9</f>
        <v>GLENN II</v>
      </c>
      <c r="E10" s="4">
        <f>Sheet1!D9</f>
        <v>48</v>
      </c>
      <c r="F10" s="4">
        <f>Sheet1!E9</f>
        <v>29</v>
      </c>
      <c r="G10" s="4">
        <f>Sheet1!F9</f>
        <v>26.4</v>
      </c>
      <c r="H10" s="4">
        <f>Sheet1!G9</f>
        <v>6.8</v>
      </c>
      <c r="I10" s="4">
        <f>Sheet1!H9</f>
        <v>2.4500000000000002</v>
      </c>
      <c r="J10" s="4">
        <f>Sheet1!I9</f>
        <v>1.28</v>
      </c>
      <c r="K10" s="4">
        <f>Sheet1!J9</f>
        <v>9</v>
      </c>
      <c r="L10" s="33"/>
      <c r="M10" s="29">
        <f t="shared" si="0"/>
        <v>141.31814399999999</v>
      </c>
      <c r="Q10" s="31"/>
      <c r="R10" s="2">
        <v>5</v>
      </c>
      <c r="S10" s="4" t="str">
        <f>Sheet1!C24</f>
        <v>UMO GREEN</v>
      </c>
      <c r="T10" s="4">
        <f>Sheet1!D24</f>
        <v>57</v>
      </c>
      <c r="U10" s="4">
        <f>Sheet1!E24</f>
        <v>30.5</v>
      </c>
      <c r="V10" s="4">
        <f>Sheet1!F24</f>
        <v>27.6</v>
      </c>
      <c r="W10" s="4">
        <f>Sheet1!G24</f>
        <v>10.8</v>
      </c>
      <c r="X10" s="4">
        <f>Sheet1!H24</f>
        <v>4.76</v>
      </c>
      <c r="Y10" s="4">
        <f>Sheet1!I24</f>
        <v>2.29</v>
      </c>
      <c r="Z10" s="4">
        <f>Sheet1!J24</f>
        <v>29</v>
      </c>
      <c r="AA10" s="33"/>
      <c r="AB10" s="29">
        <f t="shared" si="1"/>
        <v>393.17944320000004</v>
      </c>
    </row>
    <row r="11" spans="1:28" x14ac:dyDescent="0.25">
      <c r="B11" s="31"/>
      <c r="C11" s="2">
        <v>6</v>
      </c>
      <c r="D11" s="4" t="str">
        <f>Sheet1!C10</f>
        <v>COUMBA CASTEL</v>
      </c>
      <c r="E11" s="4">
        <f>Sheet1!D10</f>
        <v>83</v>
      </c>
      <c r="F11" s="4">
        <f>Sheet1!E10</f>
        <v>32</v>
      </c>
      <c r="G11" s="4">
        <f>Sheet1!F10</f>
        <v>31.55</v>
      </c>
      <c r="H11" s="4">
        <f>Sheet1!G10</f>
        <v>8</v>
      </c>
      <c r="I11" s="4">
        <f>Sheet1!H10</f>
        <v>2.7</v>
      </c>
      <c r="J11" s="4">
        <f>Sheet1!I10</f>
        <v>1.26</v>
      </c>
      <c r="K11" s="4">
        <f>Sheet1!J10</f>
        <v>12.8</v>
      </c>
      <c r="L11" s="33"/>
      <c r="M11" s="29">
        <f t="shared" si="0"/>
        <v>195.58475999999999</v>
      </c>
      <c r="Q11" s="31"/>
      <c r="R11" s="2">
        <v>6</v>
      </c>
      <c r="S11" s="4" t="str">
        <f>Sheet1!C25</f>
        <v>UMO JADE</v>
      </c>
      <c r="T11" s="4">
        <f>Sheet1!D25</f>
        <v>57</v>
      </c>
      <c r="U11" s="4">
        <f>Sheet1!E25</f>
        <v>30.5</v>
      </c>
      <c r="V11" s="4">
        <f>Sheet1!F25</f>
        <v>27.6</v>
      </c>
      <c r="W11" s="4">
        <f>Sheet1!G25</f>
        <v>10.8</v>
      </c>
      <c r="X11" s="4">
        <f>Sheet1!H25</f>
        <v>4.76</v>
      </c>
      <c r="Y11" s="4">
        <f>Sheet1!I25</f>
        <v>2.29</v>
      </c>
      <c r="Z11" s="4">
        <f>Sheet1!J25</f>
        <v>29</v>
      </c>
      <c r="AA11" s="33"/>
      <c r="AB11" s="29">
        <f t="shared" si="1"/>
        <v>393.17944320000004</v>
      </c>
    </row>
    <row r="12" spans="1:28" x14ac:dyDescent="0.25">
      <c r="B12" s="31"/>
      <c r="C12" s="2">
        <v>7</v>
      </c>
      <c r="D12" s="4" t="str">
        <f>Sheet1!C11</f>
        <v>DERVENN</v>
      </c>
      <c r="E12" s="4">
        <f>Sheet1!D11</f>
        <v>42</v>
      </c>
      <c r="F12" s="4">
        <f>Sheet1!E11</f>
        <v>30</v>
      </c>
      <c r="G12" s="4">
        <f>Sheet1!F11</f>
        <v>27.6</v>
      </c>
      <c r="H12" s="4">
        <f>Sheet1!G11</f>
        <v>7</v>
      </c>
      <c r="I12" s="4">
        <f>Sheet1!H11</f>
        <v>2.7</v>
      </c>
      <c r="J12" s="4">
        <f>Sheet1!I11</f>
        <v>1.6</v>
      </c>
      <c r="K12" s="4">
        <f>Sheet1!J11</f>
        <v>20</v>
      </c>
      <c r="L12" s="33"/>
      <c r="M12" s="29">
        <f t="shared" si="0"/>
        <v>190.10880000000003</v>
      </c>
      <c r="Q12" s="31"/>
      <c r="R12" s="2">
        <v>7</v>
      </c>
      <c r="S12" s="4" t="str">
        <f>Sheet1!C26</f>
        <v>AERO 1 HIGHSPEED</v>
      </c>
      <c r="T12" s="4">
        <f>Sheet1!D26</f>
        <v>24</v>
      </c>
      <c r="U12" s="4">
        <f>Sheet1!E26</f>
        <v>36</v>
      </c>
      <c r="V12" s="4">
        <f>Sheet1!F26</f>
        <v>34</v>
      </c>
      <c r="W12" s="4">
        <f>Sheet1!G26</f>
        <v>9.6999999999999993</v>
      </c>
      <c r="X12" s="4">
        <f>Sheet1!H26</f>
        <v>3.4</v>
      </c>
      <c r="Y12" s="4">
        <f>Sheet1!I26</f>
        <v>1.1000000000000001</v>
      </c>
      <c r="Z12" s="4">
        <f>Sheet1!J26</f>
        <v>34</v>
      </c>
      <c r="AA12" s="33"/>
      <c r="AB12" s="29">
        <f t="shared" si="1"/>
        <v>208.96127999999996</v>
      </c>
    </row>
    <row r="13" spans="1:28" x14ac:dyDescent="0.25">
      <c r="B13" s="31"/>
      <c r="C13" s="2">
        <v>8</v>
      </c>
      <c r="D13" s="4" t="str">
        <f>Sheet1!C12</f>
        <v>RIOMAIOR</v>
      </c>
      <c r="E13" s="4">
        <f>Sheet1!D12</f>
        <v>131</v>
      </c>
      <c r="F13" s="4">
        <f>Sheet1!E12</f>
        <v>32</v>
      </c>
      <c r="G13" s="4">
        <f>Sheet1!F12</f>
        <v>28.75</v>
      </c>
      <c r="H13" s="4">
        <f>Sheet1!G12</f>
        <v>7.12</v>
      </c>
      <c r="I13" s="4">
        <f>Sheet1!H12</f>
        <v>2.75</v>
      </c>
      <c r="J13" s="4">
        <f>Sheet1!I12</f>
        <v>1.45</v>
      </c>
      <c r="K13" s="4">
        <f>Sheet1!J12</f>
        <v>20</v>
      </c>
      <c r="L13" s="33"/>
      <c r="M13" s="29">
        <f t="shared" si="0"/>
        <v>182.541225</v>
      </c>
      <c r="Q13" s="31"/>
      <c r="R13" s="2">
        <v>8</v>
      </c>
      <c r="S13" s="4" t="str">
        <f>Sheet1!C27</f>
        <v>AERO 3 HIGHSPEED</v>
      </c>
      <c r="T13" s="4">
        <f>Sheet1!D27</f>
        <v>24</v>
      </c>
      <c r="U13" s="4">
        <f>Sheet1!E27</f>
        <v>36</v>
      </c>
      <c r="V13" s="4">
        <f>Sheet1!F27</f>
        <v>34</v>
      </c>
      <c r="W13" s="4">
        <f>Sheet1!G27</f>
        <v>9.6999999999999993</v>
      </c>
      <c r="X13" s="4">
        <f>Sheet1!H27</f>
        <v>3.4</v>
      </c>
      <c r="Y13" s="4">
        <f>Sheet1!I27</f>
        <v>1.1000000000000001</v>
      </c>
      <c r="Z13" s="4">
        <f>Sheet1!J27</f>
        <v>34</v>
      </c>
      <c r="AA13" s="33"/>
      <c r="AB13" s="29">
        <f t="shared" si="1"/>
        <v>208.96127999999996</v>
      </c>
    </row>
    <row r="14" spans="1:28" x14ac:dyDescent="0.25">
      <c r="B14" s="31"/>
      <c r="C14" s="2">
        <v>9</v>
      </c>
      <c r="D14" s="4" t="str">
        <f>Sheet1!C13</f>
        <v>JOLY FRANCE</v>
      </c>
      <c r="E14" s="4">
        <f>Sheet1!D13</f>
        <v>136</v>
      </c>
      <c r="F14" s="4">
        <f>Sheet1!E13</f>
        <v>30.6</v>
      </c>
      <c r="G14" s="4">
        <f>Sheet1!F13</f>
        <v>26.67</v>
      </c>
      <c r="H14" s="4">
        <f>Sheet1!G13</f>
        <v>8.1</v>
      </c>
      <c r="I14" s="4">
        <f>Sheet1!H13</f>
        <v>2.4</v>
      </c>
      <c r="J14" s="4">
        <f>Sheet1!I13</f>
        <v>1.33</v>
      </c>
      <c r="K14" s="4">
        <f>Sheet1!J13</f>
        <v>20</v>
      </c>
      <c r="L14" s="33"/>
      <c r="M14" s="29">
        <f t="shared" si="0"/>
        <v>176.69928465000001</v>
      </c>
      <c r="Q14" s="31"/>
      <c r="R14" s="2">
        <v>9</v>
      </c>
      <c r="S14" s="4" t="str">
        <f>Sheet1!C28</f>
        <v>BADJI MOKHTAR II</v>
      </c>
      <c r="T14" s="4">
        <f>Sheet1!D28</f>
        <v>27</v>
      </c>
      <c r="U14" s="4">
        <f>Sheet1!E28</f>
        <v>37.6</v>
      </c>
      <c r="V14" s="4">
        <f>Sheet1!F28</f>
        <v>31.5</v>
      </c>
      <c r="W14" s="4">
        <f>Sheet1!G28</f>
        <v>7</v>
      </c>
      <c r="X14" s="4">
        <f>Sheet1!H28</f>
        <v>2.48</v>
      </c>
      <c r="Y14" s="4">
        <f>Sheet1!I28</f>
        <v>1.01</v>
      </c>
      <c r="Z14" s="4">
        <f>Sheet1!J28</f>
        <v>31</v>
      </c>
      <c r="AA14" s="33"/>
      <c r="AB14" s="29">
        <f t="shared" si="1"/>
        <v>128.27807999999999</v>
      </c>
    </row>
    <row r="15" spans="1:28" x14ac:dyDescent="0.25">
      <c r="B15" s="31"/>
      <c r="C15" s="3">
        <v>10</v>
      </c>
      <c r="D15" s="4" t="str">
        <f>Sheet1!C14</f>
        <v>LANGKAWI FERRY 2</v>
      </c>
      <c r="E15" s="4">
        <f>Sheet1!D14</f>
        <v>67</v>
      </c>
      <c r="F15" s="4">
        <f>Sheet1!E14</f>
        <v>30.7</v>
      </c>
      <c r="G15" s="4">
        <f>Sheet1!F14</f>
        <v>26.19</v>
      </c>
      <c r="H15" s="4">
        <f>Sheet1!G14</f>
        <v>9.6</v>
      </c>
      <c r="I15" s="4">
        <f>Sheet1!H14</f>
        <v>2.8</v>
      </c>
      <c r="J15" s="4">
        <f>Sheet1!I14</f>
        <v>1.8</v>
      </c>
      <c r="K15" s="4">
        <f>Sheet1!J14</f>
        <v>25</v>
      </c>
      <c r="L15" s="33"/>
      <c r="M15" s="29">
        <f t="shared" si="0"/>
        <v>278.326368</v>
      </c>
      <c r="Q15" s="31"/>
      <c r="R15" s="3">
        <v>10</v>
      </c>
      <c r="S15" s="4" t="str">
        <f>Sheet1!C29</f>
        <v>KROTOA</v>
      </c>
      <c r="T15" s="4">
        <f>Sheet1!D29</f>
        <v>37</v>
      </c>
      <c r="U15" s="4">
        <f>Sheet1!E29</f>
        <v>33</v>
      </c>
      <c r="V15" s="4">
        <f>Sheet1!F29</f>
        <v>32.700000000000003</v>
      </c>
      <c r="W15" s="4">
        <f>Sheet1!G29</f>
        <v>8.5</v>
      </c>
      <c r="X15" s="4">
        <f>Sheet1!H29</f>
        <v>3.25</v>
      </c>
      <c r="Y15" s="4">
        <f>Sheet1!I29</f>
        <v>2.8</v>
      </c>
      <c r="Z15" s="4">
        <f>Sheet1!J29</f>
        <v>28</v>
      </c>
      <c r="AA15" s="33"/>
      <c r="AB15" s="29">
        <f t="shared" si="1"/>
        <v>448.27776</v>
      </c>
    </row>
    <row r="16" spans="1:28" ht="15.75" thickBot="1" x14ac:dyDescent="0.3">
      <c r="B16" s="37"/>
      <c r="C16" s="38"/>
      <c r="D16" s="38"/>
      <c r="E16" s="38"/>
      <c r="F16" s="38"/>
      <c r="G16" s="38"/>
      <c r="H16" s="38"/>
      <c r="I16" s="38"/>
      <c r="J16" s="38"/>
      <c r="K16" s="38"/>
      <c r="L16" s="39"/>
      <c r="Q16" s="37"/>
      <c r="R16" s="38"/>
      <c r="S16" s="38"/>
      <c r="T16" s="38"/>
      <c r="U16" s="38"/>
      <c r="V16" s="38"/>
      <c r="W16" s="38"/>
      <c r="X16" s="38"/>
      <c r="Y16" s="38"/>
      <c r="Z16" s="38"/>
      <c r="AA16" s="39"/>
    </row>
    <row r="17" spans="2:28" ht="15.75" thickBot="1" x14ac:dyDescent="0.3">
      <c r="B17" s="493" t="s">
        <v>35</v>
      </c>
      <c r="C17" s="494"/>
      <c r="D17" s="494"/>
      <c r="E17" s="494"/>
      <c r="F17" s="494"/>
      <c r="G17" s="494"/>
      <c r="H17" s="494"/>
      <c r="I17" s="494"/>
      <c r="J17" s="494"/>
      <c r="K17" s="494"/>
      <c r="L17" s="495"/>
      <c r="M17" s="56"/>
      <c r="N17" s="56"/>
      <c r="O17" s="75"/>
      <c r="Q17" s="493" t="s">
        <v>35</v>
      </c>
      <c r="R17" s="494"/>
      <c r="S17" s="494"/>
      <c r="T17" s="494"/>
      <c r="U17" s="494"/>
      <c r="V17" s="494"/>
      <c r="W17" s="494"/>
      <c r="X17" s="494"/>
      <c r="Y17" s="494"/>
      <c r="Z17" s="494"/>
      <c r="AA17" s="495"/>
      <c r="AB17" s="56"/>
    </row>
    <row r="18" spans="2:28" x14ac:dyDescent="0.25">
      <c r="B18" s="31"/>
      <c r="C18" s="496" t="s">
        <v>36</v>
      </c>
      <c r="D18" s="497"/>
      <c r="L18" s="33"/>
      <c r="Q18" s="31"/>
      <c r="R18" s="496" t="s">
        <v>36</v>
      </c>
      <c r="S18" s="497"/>
      <c r="AA18" s="33"/>
    </row>
    <row r="19" spans="2:28" x14ac:dyDescent="0.25">
      <c r="B19" s="31"/>
      <c r="C19" s="53"/>
      <c r="E19" s="40" t="s">
        <v>44</v>
      </c>
      <c r="F19" s="40" t="s">
        <v>45</v>
      </c>
      <c r="G19" s="40" t="s">
        <v>37</v>
      </c>
      <c r="H19" s="40" t="s">
        <v>38</v>
      </c>
      <c r="I19" s="40" t="s">
        <v>39</v>
      </c>
      <c r="L19" s="33"/>
      <c r="Q19" s="31"/>
      <c r="R19" s="53"/>
      <c r="T19" s="40" t="s">
        <v>44</v>
      </c>
      <c r="U19" s="40" t="s">
        <v>45</v>
      </c>
      <c r="V19" s="40" t="s">
        <v>37</v>
      </c>
      <c r="W19" s="40" t="s">
        <v>38</v>
      </c>
      <c r="X19" s="40" t="s">
        <v>39</v>
      </c>
      <c r="AA19" s="33"/>
    </row>
    <row r="20" spans="2:28" x14ac:dyDescent="0.25">
      <c r="B20" s="31"/>
      <c r="C20" s="53"/>
      <c r="E20" s="41">
        <f>E6</f>
        <v>100</v>
      </c>
      <c r="F20" s="42">
        <f>G6</f>
        <v>23.15</v>
      </c>
      <c r="G20" s="43">
        <f>E20^2</f>
        <v>10000</v>
      </c>
      <c r="H20" s="43">
        <f t="shared" ref="H20:H29" si="2">E20*F20</f>
        <v>2315</v>
      </c>
      <c r="I20" s="43">
        <f t="shared" ref="I20:I29" si="3">F20^2</f>
        <v>535.9224999999999</v>
      </c>
      <c r="L20" s="33"/>
      <c r="Q20" s="31"/>
      <c r="R20" s="53"/>
      <c r="T20" s="41">
        <f>T6</f>
        <v>37</v>
      </c>
      <c r="U20" s="42">
        <f>V6</f>
        <v>31.35</v>
      </c>
      <c r="V20" s="43">
        <f>T20^2</f>
        <v>1369</v>
      </c>
      <c r="W20" s="43">
        <f t="shared" ref="W20:W29" si="4">T20*U20</f>
        <v>1159.95</v>
      </c>
      <c r="X20" s="43">
        <f t="shared" ref="X20:X29" si="5">U20^2</f>
        <v>982.8225000000001</v>
      </c>
      <c r="AA20" s="33"/>
    </row>
    <row r="21" spans="2:28" x14ac:dyDescent="0.25">
      <c r="B21" s="31"/>
      <c r="C21" s="53"/>
      <c r="E21" s="41">
        <f t="shared" ref="E21:E29" si="6">E7</f>
        <v>38</v>
      </c>
      <c r="F21" s="42">
        <f t="shared" ref="F21:F29" si="7">G7</f>
        <v>25.5</v>
      </c>
      <c r="G21" s="43">
        <f t="shared" ref="G21:G29" si="8">E21^2</f>
        <v>1444</v>
      </c>
      <c r="H21" s="43">
        <f t="shared" si="2"/>
        <v>969</v>
      </c>
      <c r="I21" s="43">
        <f t="shared" si="3"/>
        <v>650.25</v>
      </c>
      <c r="L21" s="33"/>
      <c r="Q21" s="31"/>
      <c r="R21" s="53"/>
      <c r="T21" s="41">
        <f t="shared" ref="T21:T29" si="9">T7</f>
        <v>35</v>
      </c>
      <c r="U21" s="42">
        <f t="shared" ref="U21:U29" si="10">V7</f>
        <v>35.4</v>
      </c>
      <c r="V21" s="43">
        <f t="shared" ref="V21:V29" si="11">T21^2</f>
        <v>1225</v>
      </c>
      <c r="W21" s="43">
        <f t="shared" si="4"/>
        <v>1239</v>
      </c>
      <c r="X21" s="43">
        <f t="shared" si="5"/>
        <v>1253.1599999999999</v>
      </c>
      <c r="AA21" s="33"/>
    </row>
    <row r="22" spans="2:28" x14ac:dyDescent="0.25">
      <c r="B22" s="31"/>
      <c r="C22" s="53"/>
      <c r="E22" s="41">
        <f t="shared" si="6"/>
        <v>152</v>
      </c>
      <c r="F22" s="42">
        <f t="shared" si="7"/>
        <v>24</v>
      </c>
      <c r="G22" s="43">
        <f t="shared" si="8"/>
        <v>23104</v>
      </c>
      <c r="H22" s="43">
        <f t="shared" si="2"/>
        <v>3648</v>
      </c>
      <c r="I22" s="43">
        <f t="shared" si="3"/>
        <v>576</v>
      </c>
      <c r="L22" s="33"/>
      <c r="Q22" s="31"/>
      <c r="R22" s="53"/>
      <c r="T22" s="41">
        <f t="shared" si="9"/>
        <v>37</v>
      </c>
      <c r="U22" s="42">
        <f t="shared" si="10"/>
        <v>32.700000000000003</v>
      </c>
      <c r="V22" s="43">
        <f t="shared" si="11"/>
        <v>1369</v>
      </c>
      <c r="W22" s="43">
        <f t="shared" si="4"/>
        <v>1209.9000000000001</v>
      </c>
      <c r="X22" s="43">
        <f t="shared" si="5"/>
        <v>1069.2900000000002</v>
      </c>
      <c r="AA22" s="33"/>
    </row>
    <row r="23" spans="2:28" x14ac:dyDescent="0.25">
      <c r="B23" s="31"/>
      <c r="C23" s="53"/>
      <c r="E23" s="41">
        <f t="shared" si="6"/>
        <v>72</v>
      </c>
      <c r="F23" s="42">
        <f t="shared" si="7"/>
        <v>26.72</v>
      </c>
      <c r="G23" s="43">
        <f t="shared" si="8"/>
        <v>5184</v>
      </c>
      <c r="H23" s="43">
        <f t="shared" si="2"/>
        <v>1923.84</v>
      </c>
      <c r="I23" s="43">
        <f t="shared" si="3"/>
        <v>713.95839999999998</v>
      </c>
      <c r="L23" s="33"/>
      <c r="Q23" s="31"/>
      <c r="R23" s="53"/>
      <c r="T23" s="41">
        <f t="shared" si="9"/>
        <v>31</v>
      </c>
      <c r="U23" s="42">
        <f t="shared" si="10"/>
        <v>30.1</v>
      </c>
      <c r="V23" s="43">
        <f t="shared" si="11"/>
        <v>961</v>
      </c>
      <c r="W23" s="43">
        <f t="shared" si="4"/>
        <v>933.1</v>
      </c>
      <c r="X23" s="43">
        <f t="shared" si="5"/>
        <v>906.0100000000001</v>
      </c>
      <c r="AA23" s="33"/>
    </row>
    <row r="24" spans="2:28" x14ac:dyDescent="0.25">
      <c r="B24" s="31"/>
      <c r="C24" s="53"/>
      <c r="E24" s="41">
        <f t="shared" si="6"/>
        <v>48</v>
      </c>
      <c r="F24" s="42">
        <f t="shared" si="7"/>
        <v>26.4</v>
      </c>
      <c r="G24" s="43">
        <f t="shared" si="8"/>
        <v>2304</v>
      </c>
      <c r="H24" s="43">
        <f t="shared" si="2"/>
        <v>1267.1999999999998</v>
      </c>
      <c r="I24" s="43">
        <f t="shared" si="3"/>
        <v>696.95999999999992</v>
      </c>
      <c r="L24" s="33"/>
      <c r="Q24" s="31"/>
      <c r="R24" s="53"/>
      <c r="T24" s="41">
        <f t="shared" si="9"/>
        <v>57</v>
      </c>
      <c r="U24" s="42">
        <f t="shared" si="10"/>
        <v>27.6</v>
      </c>
      <c r="V24" s="43">
        <f t="shared" si="11"/>
        <v>3249</v>
      </c>
      <c r="W24" s="43">
        <f t="shared" si="4"/>
        <v>1573.2</v>
      </c>
      <c r="X24" s="43">
        <f t="shared" si="5"/>
        <v>761.7600000000001</v>
      </c>
      <c r="AA24" s="33"/>
    </row>
    <row r="25" spans="2:28" x14ac:dyDescent="0.25">
      <c r="B25" s="31"/>
      <c r="C25" s="53"/>
      <c r="E25" s="41">
        <f t="shared" si="6"/>
        <v>83</v>
      </c>
      <c r="F25" s="42">
        <f t="shared" si="7"/>
        <v>31.55</v>
      </c>
      <c r="G25" s="43">
        <f t="shared" si="8"/>
        <v>6889</v>
      </c>
      <c r="H25" s="43">
        <f t="shared" si="2"/>
        <v>2618.65</v>
      </c>
      <c r="I25" s="43">
        <f t="shared" si="3"/>
        <v>995.40250000000003</v>
      </c>
      <c r="L25" s="33"/>
      <c r="Q25" s="31"/>
      <c r="R25" s="53"/>
      <c r="T25" s="41">
        <f t="shared" si="9"/>
        <v>57</v>
      </c>
      <c r="U25" s="42">
        <f t="shared" si="10"/>
        <v>27.6</v>
      </c>
      <c r="V25" s="43">
        <f t="shared" si="11"/>
        <v>3249</v>
      </c>
      <c r="W25" s="43">
        <f t="shared" si="4"/>
        <v>1573.2</v>
      </c>
      <c r="X25" s="43">
        <f t="shared" si="5"/>
        <v>761.7600000000001</v>
      </c>
      <c r="AA25" s="33"/>
    </row>
    <row r="26" spans="2:28" x14ac:dyDescent="0.25">
      <c r="B26" s="31"/>
      <c r="C26" s="53"/>
      <c r="E26" s="41">
        <f t="shared" si="6"/>
        <v>42</v>
      </c>
      <c r="F26" s="42">
        <f t="shared" si="7"/>
        <v>27.6</v>
      </c>
      <c r="G26" s="43">
        <f t="shared" si="8"/>
        <v>1764</v>
      </c>
      <c r="H26" s="43">
        <f t="shared" si="2"/>
        <v>1159.2</v>
      </c>
      <c r="I26" s="43">
        <f t="shared" si="3"/>
        <v>761.7600000000001</v>
      </c>
      <c r="L26" s="33"/>
      <c r="Q26" s="31"/>
      <c r="R26" s="53"/>
      <c r="T26" s="41">
        <f t="shared" si="9"/>
        <v>24</v>
      </c>
      <c r="U26" s="42">
        <f t="shared" si="10"/>
        <v>34</v>
      </c>
      <c r="V26" s="43">
        <f t="shared" si="11"/>
        <v>576</v>
      </c>
      <c r="W26" s="43">
        <f t="shared" si="4"/>
        <v>816</v>
      </c>
      <c r="X26" s="43">
        <f t="shared" si="5"/>
        <v>1156</v>
      </c>
      <c r="AA26" s="33"/>
    </row>
    <row r="27" spans="2:28" x14ac:dyDescent="0.25">
      <c r="B27" s="31"/>
      <c r="C27" s="53"/>
      <c r="E27" s="41">
        <f t="shared" si="6"/>
        <v>131</v>
      </c>
      <c r="F27" s="42">
        <f t="shared" si="7"/>
        <v>28.75</v>
      </c>
      <c r="G27" s="43">
        <f t="shared" si="8"/>
        <v>17161</v>
      </c>
      <c r="H27" s="43">
        <f t="shared" si="2"/>
        <v>3766.25</v>
      </c>
      <c r="I27" s="43">
        <f t="shared" si="3"/>
        <v>826.5625</v>
      </c>
      <c r="L27" s="33"/>
      <c r="Q27" s="31"/>
      <c r="R27" s="53"/>
      <c r="T27" s="41">
        <f t="shared" si="9"/>
        <v>24</v>
      </c>
      <c r="U27" s="42">
        <f t="shared" si="10"/>
        <v>34</v>
      </c>
      <c r="V27" s="43">
        <f t="shared" si="11"/>
        <v>576</v>
      </c>
      <c r="W27" s="43">
        <f t="shared" si="4"/>
        <v>816</v>
      </c>
      <c r="X27" s="43">
        <f t="shared" si="5"/>
        <v>1156</v>
      </c>
      <c r="AA27" s="33"/>
    </row>
    <row r="28" spans="2:28" x14ac:dyDescent="0.25">
      <c r="B28" s="31"/>
      <c r="C28" s="53"/>
      <c r="E28" s="41">
        <f t="shared" si="6"/>
        <v>136</v>
      </c>
      <c r="F28" s="42">
        <f t="shared" si="7"/>
        <v>26.67</v>
      </c>
      <c r="G28" s="43">
        <f t="shared" si="8"/>
        <v>18496</v>
      </c>
      <c r="H28" s="43">
        <f t="shared" si="2"/>
        <v>3627.1200000000003</v>
      </c>
      <c r="I28" s="43">
        <f t="shared" si="3"/>
        <v>711.28890000000013</v>
      </c>
      <c r="L28" s="33"/>
      <c r="Q28" s="31"/>
      <c r="R28" s="53"/>
      <c r="T28" s="41">
        <f t="shared" si="9"/>
        <v>27</v>
      </c>
      <c r="U28" s="42">
        <f t="shared" si="10"/>
        <v>31.5</v>
      </c>
      <c r="V28" s="43">
        <f t="shared" si="11"/>
        <v>729</v>
      </c>
      <c r="W28" s="43">
        <f t="shared" si="4"/>
        <v>850.5</v>
      </c>
      <c r="X28" s="43">
        <f t="shared" si="5"/>
        <v>992.25</v>
      </c>
      <c r="AA28" s="33"/>
    </row>
    <row r="29" spans="2:28" x14ac:dyDescent="0.25">
      <c r="B29" s="31"/>
      <c r="C29" s="53"/>
      <c r="E29" s="41">
        <f t="shared" si="6"/>
        <v>67</v>
      </c>
      <c r="F29" s="42">
        <f t="shared" si="7"/>
        <v>26.19</v>
      </c>
      <c r="G29" s="43">
        <f t="shared" si="8"/>
        <v>4489</v>
      </c>
      <c r="H29" s="43">
        <f t="shared" si="2"/>
        <v>1754.73</v>
      </c>
      <c r="I29" s="43">
        <f t="shared" si="3"/>
        <v>685.91610000000003</v>
      </c>
      <c r="L29" s="33"/>
      <c r="Q29" s="31"/>
      <c r="R29" s="53"/>
      <c r="T29" s="41">
        <f t="shared" si="9"/>
        <v>37</v>
      </c>
      <c r="U29" s="42">
        <f t="shared" si="10"/>
        <v>32.700000000000003</v>
      </c>
      <c r="V29" s="43">
        <f t="shared" si="11"/>
        <v>1369</v>
      </c>
      <c r="W29" s="43">
        <f t="shared" si="4"/>
        <v>1209.9000000000001</v>
      </c>
      <c r="X29" s="43">
        <f t="shared" si="5"/>
        <v>1069.2900000000002</v>
      </c>
      <c r="AA29" s="33"/>
    </row>
    <row r="30" spans="2:28" x14ac:dyDescent="0.25">
      <c r="B30" s="31"/>
      <c r="C30" s="53"/>
      <c r="E30" s="41">
        <f>SUM(E20:E29)</f>
        <v>869</v>
      </c>
      <c r="F30" s="41">
        <f t="shared" ref="F30:I30" si="12">SUM(F20:F29)</f>
        <v>266.53000000000003</v>
      </c>
      <c r="G30" s="41">
        <f t="shared" si="12"/>
        <v>90835</v>
      </c>
      <c r="H30" s="41">
        <f t="shared" si="12"/>
        <v>23048.989999999998</v>
      </c>
      <c r="I30" s="41">
        <f t="shared" si="12"/>
        <v>7154.0209000000013</v>
      </c>
      <c r="L30" s="33"/>
      <c r="Q30" s="31"/>
      <c r="R30" s="53"/>
      <c r="T30" s="41">
        <f>SUM(T20:T29)</f>
        <v>366</v>
      </c>
      <c r="U30" s="41">
        <f t="shared" ref="U30" si="13">SUM(U20:U29)</f>
        <v>316.95</v>
      </c>
      <c r="V30" s="41">
        <f t="shared" ref="V30" si="14">SUM(V20:V29)</f>
        <v>14672</v>
      </c>
      <c r="W30" s="41">
        <f t="shared" ref="W30" si="15">SUM(W20:W29)</f>
        <v>11380.749999999998</v>
      </c>
      <c r="X30" s="41">
        <f t="shared" ref="X30" si="16">SUM(X20:X29)</f>
        <v>10108.342500000002</v>
      </c>
      <c r="AA30" s="33"/>
    </row>
    <row r="31" spans="2:28" x14ac:dyDescent="0.25">
      <c r="B31" s="31"/>
      <c r="C31" s="53"/>
      <c r="E31" s="29" t="s">
        <v>42</v>
      </c>
      <c r="F31" s="29">
        <f>MIN(F20:F29)</f>
        <v>23.15</v>
      </c>
      <c r="L31" s="33"/>
      <c r="Q31" s="31"/>
      <c r="R31" s="53"/>
      <c r="T31" s="29" t="s">
        <v>42</v>
      </c>
      <c r="U31" s="29">
        <f>MIN(U20:U29)</f>
        <v>27.6</v>
      </c>
      <c r="AA31" s="33"/>
    </row>
    <row r="32" spans="2:28" x14ac:dyDescent="0.25">
      <c r="B32" s="31"/>
      <c r="C32" s="53"/>
      <c r="E32" s="29" t="s">
        <v>43</v>
      </c>
      <c r="F32" s="29">
        <f>MAX(F20:F29)</f>
        <v>31.55</v>
      </c>
      <c r="L32" s="33"/>
      <c r="Q32" s="31"/>
      <c r="R32" s="53"/>
      <c r="T32" s="29" t="s">
        <v>43</v>
      </c>
      <c r="U32" s="29">
        <f>MAX(U20:U29)</f>
        <v>35.4</v>
      </c>
      <c r="AA32" s="33"/>
    </row>
    <row r="33" spans="2:27" x14ac:dyDescent="0.25">
      <c r="B33" s="31"/>
      <c r="C33" s="53"/>
      <c r="L33" s="33"/>
      <c r="Q33" s="31"/>
      <c r="R33" s="53"/>
      <c r="AA33" s="33"/>
    </row>
    <row r="34" spans="2:27" x14ac:dyDescent="0.25">
      <c r="B34" s="31"/>
      <c r="C34" s="53"/>
      <c r="E34" s="44" t="s">
        <v>40</v>
      </c>
      <c r="F34" s="45"/>
      <c r="G34" s="46"/>
      <c r="I34" s="29">
        <f>((F30*G30)-(E30*H30))/((C15*G30)-(E30^2))</f>
        <v>27.290995045336192</v>
      </c>
      <c r="L34" s="33"/>
      <c r="Q34" s="31"/>
      <c r="R34" s="53"/>
      <c r="T34" s="44" t="s">
        <v>40</v>
      </c>
      <c r="U34" s="45"/>
      <c r="V34" s="46"/>
      <c r="X34" s="29">
        <f>((U30*V30)-(T30*W30))/((R15*V30)-(T30^2))</f>
        <v>37.99247101222187</v>
      </c>
      <c r="AA34" s="33"/>
    </row>
    <row r="35" spans="2:27" x14ac:dyDescent="0.25">
      <c r="B35" s="31"/>
      <c r="C35" s="53"/>
      <c r="E35" s="47" t="s">
        <v>100</v>
      </c>
      <c r="F35" s="48"/>
      <c r="G35" s="49"/>
      <c r="L35" s="33"/>
      <c r="Q35" s="31"/>
      <c r="R35" s="53"/>
      <c r="T35" s="47" t="s">
        <v>100</v>
      </c>
      <c r="U35" s="48"/>
      <c r="V35" s="49"/>
      <c r="AA35" s="33"/>
    </row>
    <row r="36" spans="2:27" x14ac:dyDescent="0.25">
      <c r="B36" s="31"/>
      <c r="C36" s="53"/>
      <c r="L36" s="33"/>
      <c r="Q36" s="31"/>
      <c r="R36" s="53"/>
      <c r="AA36" s="33"/>
    </row>
    <row r="37" spans="2:27" x14ac:dyDescent="0.25">
      <c r="B37" s="31"/>
      <c r="C37" s="53"/>
      <c r="E37" s="44" t="s">
        <v>41</v>
      </c>
      <c r="F37" s="45"/>
      <c r="G37" s="46"/>
      <c r="I37" s="29">
        <f>(((C15*H30)-(E30*F30))/((C15*G30)-(E30)^2))</f>
        <v>-7.3417151362047605E-3</v>
      </c>
      <c r="L37" s="33"/>
      <c r="Q37" s="31"/>
      <c r="R37" s="53"/>
      <c r="T37" s="44" t="s">
        <v>41</v>
      </c>
      <c r="U37" s="45"/>
      <c r="V37" s="46"/>
      <c r="X37" s="29">
        <f>(((R15*W30)-(T30*U30))/((R15*V30)-(T30)^2))</f>
        <v>-0.17206204951425977</v>
      </c>
      <c r="AA37" s="33"/>
    </row>
    <row r="38" spans="2:27" x14ac:dyDescent="0.25">
      <c r="B38" s="31"/>
      <c r="C38" s="53"/>
      <c r="E38" s="47" t="s">
        <v>100</v>
      </c>
      <c r="F38" s="48"/>
      <c r="G38" s="49"/>
      <c r="L38" s="33"/>
      <c r="Q38" s="31"/>
      <c r="R38" s="53"/>
      <c r="T38" s="47" t="s">
        <v>100</v>
      </c>
      <c r="U38" s="48"/>
      <c r="V38" s="49"/>
      <c r="AA38" s="33"/>
    </row>
    <row r="39" spans="2:27" x14ac:dyDescent="0.25">
      <c r="B39" s="31"/>
      <c r="C39" s="53"/>
      <c r="L39" s="33"/>
      <c r="Q39" s="31"/>
      <c r="R39" s="53"/>
      <c r="AA39" s="33"/>
    </row>
    <row r="40" spans="2:27" x14ac:dyDescent="0.25">
      <c r="B40" s="31"/>
      <c r="C40" s="53"/>
      <c r="E40" s="50" t="s">
        <v>47</v>
      </c>
      <c r="F40" s="51"/>
      <c r="G40" s="52"/>
      <c r="I40" s="29">
        <f>I34+(I37*Sheet1!E37)</f>
        <v>26.666949258758788</v>
      </c>
      <c r="J40" s="29" t="s">
        <v>46</v>
      </c>
      <c r="L40" s="33"/>
      <c r="Q40" s="31"/>
      <c r="R40" s="53"/>
      <c r="T40" s="50" t="s">
        <v>47</v>
      </c>
      <c r="U40" s="51"/>
      <c r="V40" s="52"/>
      <c r="X40" s="29">
        <f>X34+(X37*Sheet1!E37)</f>
        <v>23.367196803509792</v>
      </c>
      <c r="Y40" s="29" t="s">
        <v>46</v>
      </c>
      <c r="AA40" s="33"/>
    </row>
    <row r="41" spans="2:27" x14ac:dyDescent="0.25">
      <c r="B41" s="31"/>
      <c r="C41" s="47"/>
      <c r="D41" s="48"/>
      <c r="E41" s="48"/>
      <c r="F41" s="48"/>
      <c r="G41" s="48"/>
      <c r="H41" s="48"/>
      <c r="I41" s="48"/>
      <c r="J41" s="48"/>
      <c r="K41" s="48"/>
      <c r="L41" s="57"/>
      <c r="Q41" s="31"/>
      <c r="R41" s="47"/>
      <c r="S41" s="48"/>
      <c r="T41" s="48"/>
      <c r="U41" s="48"/>
      <c r="V41" s="48"/>
      <c r="W41" s="48"/>
      <c r="X41" s="48"/>
      <c r="Y41" s="48"/>
      <c r="Z41" s="48"/>
      <c r="AA41" s="57"/>
    </row>
    <row r="42" spans="2:27" x14ac:dyDescent="0.25">
      <c r="B42" s="31"/>
      <c r="C42" s="498" t="s">
        <v>48</v>
      </c>
      <c r="D42" s="499"/>
      <c r="E42" s="45"/>
      <c r="F42" s="45"/>
      <c r="G42" s="45"/>
      <c r="H42" s="45"/>
      <c r="I42" s="45"/>
      <c r="J42" s="45"/>
      <c r="K42" s="45"/>
      <c r="L42" s="58"/>
      <c r="Q42" s="31"/>
      <c r="R42" s="498" t="s">
        <v>48</v>
      </c>
      <c r="S42" s="499"/>
      <c r="T42" s="45"/>
      <c r="U42" s="45"/>
      <c r="V42" s="45"/>
      <c r="W42" s="45"/>
      <c r="X42" s="45"/>
      <c r="Y42" s="45"/>
      <c r="Z42" s="45"/>
      <c r="AA42" s="58"/>
    </row>
    <row r="43" spans="2:27" x14ac:dyDescent="0.25">
      <c r="B43" s="31"/>
      <c r="C43" s="53"/>
      <c r="E43" s="40" t="s">
        <v>44</v>
      </c>
      <c r="F43" s="40" t="s">
        <v>51</v>
      </c>
      <c r="G43" s="40" t="s">
        <v>37</v>
      </c>
      <c r="H43" s="40" t="s">
        <v>38</v>
      </c>
      <c r="I43" s="40" t="s">
        <v>39</v>
      </c>
      <c r="L43" s="33"/>
      <c r="Q43" s="31"/>
      <c r="R43" s="53"/>
      <c r="T43" s="40" t="s">
        <v>44</v>
      </c>
      <c r="U43" s="40" t="s">
        <v>51</v>
      </c>
      <c r="V43" s="40" t="s">
        <v>37</v>
      </c>
      <c r="W43" s="40" t="s">
        <v>38</v>
      </c>
      <c r="X43" s="40" t="s">
        <v>39</v>
      </c>
      <c r="AA43" s="33"/>
    </row>
    <row r="44" spans="2:27" x14ac:dyDescent="0.25">
      <c r="B44" s="31"/>
      <c r="C44" s="53"/>
      <c r="E44" s="41">
        <f>E6</f>
        <v>100</v>
      </c>
      <c r="F44" s="42">
        <f>H6</f>
        <v>6.92</v>
      </c>
      <c r="G44" s="43">
        <f>E44^2</f>
        <v>10000</v>
      </c>
      <c r="H44" s="43">
        <f t="shared" ref="H44:H53" si="17">E44*F44</f>
        <v>692</v>
      </c>
      <c r="I44" s="43">
        <f t="shared" ref="I44:I53" si="18">F44^2</f>
        <v>47.886400000000002</v>
      </c>
      <c r="L44" s="33"/>
      <c r="Q44" s="31"/>
      <c r="R44" s="53"/>
      <c r="T44" s="41">
        <f>T6</f>
        <v>37</v>
      </c>
      <c r="U44" s="42">
        <f>W6</f>
        <v>8.5</v>
      </c>
      <c r="V44" s="43">
        <f>T44^2</f>
        <v>1369</v>
      </c>
      <c r="W44" s="43">
        <f t="shared" ref="W44:W53" si="19">T44*U44</f>
        <v>314.5</v>
      </c>
      <c r="X44" s="43">
        <f t="shared" ref="X44:X53" si="20">U44^2</f>
        <v>72.25</v>
      </c>
      <c r="AA44" s="33"/>
    </row>
    <row r="45" spans="2:27" x14ac:dyDescent="0.25">
      <c r="B45" s="31"/>
      <c r="C45" s="53"/>
      <c r="E45" s="41">
        <f t="shared" ref="E45:E53" si="21">E7</f>
        <v>38</v>
      </c>
      <c r="F45" s="42">
        <f t="shared" ref="F45:F53" si="22">H7</f>
        <v>6.8</v>
      </c>
      <c r="G45" s="43">
        <f t="shared" ref="G45:G53" si="23">E45^2</f>
        <v>1444</v>
      </c>
      <c r="H45" s="43">
        <f t="shared" si="17"/>
        <v>258.39999999999998</v>
      </c>
      <c r="I45" s="43">
        <f t="shared" si="18"/>
        <v>46.239999999999995</v>
      </c>
      <c r="L45" s="33"/>
      <c r="Q45" s="31"/>
      <c r="R45" s="53"/>
      <c r="T45" s="41">
        <f t="shared" ref="T45:T53" si="24">T7</f>
        <v>35</v>
      </c>
      <c r="U45" s="42">
        <f t="shared" ref="U45:U53" si="25">W7</f>
        <v>10</v>
      </c>
      <c r="V45" s="43">
        <f t="shared" ref="V45:V53" si="26">T45^2</f>
        <v>1225</v>
      </c>
      <c r="W45" s="43">
        <f t="shared" si="19"/>
        <v>350</v>
      </c>
      <c r="X45" s="43">
        <f t="shared" si="20"/>
        <v>100</v>
      </c>
      <c r="AA45" s="33"/>
    </row>
    <row r="46" spans="2:27" x14ac:dyDescent="0.25">
      <c r="B46" s="31"/>
      <c r="C46" s="53"/>
      <c r="E46" s="41">
        <f t="shared" si="21"/>
        <v>152</v>
      </c>
      <c r="F46" s="42">
        <f t="shared" si="22"/>
        <v>8.5</v>
      </c>
      <c r="G46" s="43">
        <f t="shared" si="23"/>
        <v>23104</v>
      </c>
      <c r="H46" s="43">
        <f t="shared" si="17"/>
        <v>1292</v>
      </c>
      <c r="I46" s="43">
        <f t="shared" si="18"/>
        <v>72.25</v>
      </c>
      <c r="L46" s="33"/>
      <c r="Q46" s="31"/>
      <c r="R46" s="53"/>
      <c r="T46" s="41">
        <f t="shared" si="24"/>
        <v>37</v>
      </c>
      <c r="U46" s="42">
        <f t="shared" si="25"/>
        <v>8.5</v>
      </c>
      <c r="V46" s="43">
        <f t="shared" si="26"/>
        <v>1369</v>
      </c>
      <c r="W46" s="43">
        <f t="shared" si="19"/>
        <v>314.5</v>
      </c>
      <c r="X46" s="43">
        <f t="shared" si="20"/>
        <v>72.25</v>
      </c>
      <c r="AA46" s="33"/>
    </row>
    <row r="47" spans="2:27" x14ac:dyDescent="0.25">
      <c r="B47" s="31"/>
      <c r="C47" s="53"/>
      <c r="E47" s="41">
        <f t="shared" si="21"/>
        <v>72</v>
      </c>
      <c r="F47" s="42">
        <f t="shared" si="22"/>
        <v>7</v>
      </c>
      <c r="G47" s="43">
        <f t="shared" si="23"/>
        <v>5184</v>
      </c>
      <c r="H47" s="43">
        <f t="shared" si="17"/>
        <v>504</v>
      </c>
      <c r="I47" s="43">
        <f t="shared" si="18"/>
        <v>49</v>
      </c>
      <c r="L47" s="33"/>
      <c r="Q47" s="31"/>
      <c r="R47" s="53"/>
      <c r="T47" s="41">
        <f t="shared" si="24"/>
        <v>31</v>
      </c>
      <c r="U47" s="42">
        <f t="shared" si="25"/>
        <v>6.89</v>
      </c>
      <c r="V47" s="43">
        <f t="shared" si="26"/>
        <v>961</v>
      </c>
      <c r="W47" s="43">
        <f t="shared" si="19"/>
        <v>213.59</v>
      </c>
      <c r="X47" s="43">
        <f t="shared" si="20"/>
        <v>47.472099999999998</v>
      </c>
      <c r="AA47" s="33"/>
    </row>
    <row r="48" spans="2:27" x14ac:dyDescent="0.25">
      <c r="B48" s="31"/>
      <c r="C48" s="53"/>
      <c r="E48" s="41">
        <f t="shared" si="21"/>
        <v>48</v>
      </c>
      <c r="F48" s="42">
        <f t="shared" si="22"/>
        <v>6.8</v>
      </c>
      <c r="G48" s="43">
        <f t="shared" si="23"/>
        <v>2304</v>
      </c>
      <c r="H48" s="43">
        <f t="shared" si="17"/>
        <v>326.39999999999998</v>
      </c>
      <c r="I48" s="43">
        <f t="shared" si="18"/>
        <v>46.239999999999995</v>
      </c>
      <c r="L48" s="33"/>
      <c r="Q48" s="31"/>
      <c r="R48" s="53"/>
      <c r="T48" s="41">
        <f t="shared" si="24"/>
        <v>57</v>
      </c>
      <c r="U48" s="42">
        <f t="shared" si="25"/>
        <v>10.8</v>
      </c>
      <c r="V48" s="43">
        <f t="shared" si="26"/>
        <v>3249</v>
      </c>
      <c r="W48" s="43">
        <f t="shared" si="19"/>
        <v>615.6</v>
      </c>
      <c r="X48" s="43">
        <f t="shared" si="20"/>
        <v>116.64000000000001</v>
      </c>
      <c r="AA48" s="33"/>
    </row>
    <row r="49" spans="2:27" x14ac:dyDescent="0.25">
      <c r="B49" s="31"/>
      <c r="C49" s="53"/>
      <c r="E49" s="41">
        <f t="shared" si="21"/>
        <v>83</v>
      </c>
      <c r="F49" s="42">
        <f t="shared" si="22"/>
        <v>8</v>
      </c>
      <c r="G49" s="43">
        <f t="shared" si="23"/>
        <v>6889</v>
      </c>
      <c r="H49" s="43">
        <f t="shared" si="17"/>
        <v>664</v>
      </c>
      <c r="I49" s="43">
        <f t="shared" si="18"/>
        <v>64</v>
      </c>
      <c r="L49" s="33"/>
      <c r="Q49" s="31"/>
      <c r="R49" s="53"/>
      <c r="T49" s="41">
        <f t="shared" si="24"/>
        <v>57</v>
      </c>
      <c r="U49" s="42">
        <f t="shared" si="25"/>
        <v>10.8</v>
      </c>
      <c r="V49" s="43">
        <f t="shared" si="26"/>
        <v>3249</v>
      </c>
      <c r="W49" s="43">
        <f t="shared" si="19"/>
        <v>615.6</v>
      </c>
      <c r="X49" s="43">
        <f t="shared" si="20"/>
        <v>116.64000000000001</v>
      </c>
      <c r="AA49" s="33"/>
    </row>
    <row r="50" spans="2:27" x14ac:dyDescent="0.25">
      <c r="B50" s="31"/>
      <c r="C50" s="53"/>
      <c r="E50" s="41">
        <f t="shared" si="21"/>
        <v>42</v>
      </c>
      <c r="F50" s="42">
        <f t="shared" si="22"/>
        <v>7</v>
      </c>
      <c r="G50" s="43">
        <f t="shared" si="23"/>
        <v>1764</v>
      </c>
      <c r="H50" s="43">
        <f t="shared" si="17"/>
        <v>294</v>
      </c>
      <c r="I50" s="43">
        <f t="shared" si="18"/>
        <v>49</v>
      </c>
      <c r="L50" s="33"/>
      <c r="Q50" s="31"/>
      <c r="R50" s="53"/>
      <c r="T50" s="41">
        <f t="shared" si="24"/>
        <v>24</v>
      </c>
      <c r="U50" s="42">
        <f t="shared" si="25"/>
        <v>9.6999999999999993</v>
      </c>
      <c r="V50" s="43">
        <f t="shared" si="26"/>
        <v>576</v>
      </c>
      <c r="W50" s="43">
        <f t="shared" si="19"/>
        <v>232.79999999999998</v>
      </c>
      <c r="X50" s="43">
        <f t="shared" si="20"/>
        <v>94.089999999999989</v>
      </c>
      <c r="AA50" s="33"/>
    </row>
    <row r="51" spans="2:27" x14ac:dyDescent="0.25">
      <c r="B51" s="31"/>
      <c r="C51" s="53"/>
      <c r="E51" s="41">
        <f t="shared" si="21"/>
        <v>131</v>
      </c>
      <c r="F51" s="42">
        <f t="shared" si="22"/>
        <v>7.12</v>
      </c>
      <c r="G51" s="43">
        <f t="shared" si="23"/>
        <v>17161</v>
      </c>
      <c r="H51" s="43">
        <f t="shared" si="17"/>
        <v>932.72</v>
      </c>
      <c r="I51" s="43">
        <f t="shared" si="18"/>
        <v>50.694400000000002</v>
      </c>
      <c r="L51" s="33"/>
      <c r="Q51" s="31"/>
      <c r="R51" s="53"/>
      <c r="T51" s="41">
        <f t="shared" si="24"/>
        <v>24</v>
      </c>
      <c r="U51" s="42">
        <f t="shared" si="25"/>
        <v>9.6999999999999993</v>
      </c>
      <c r="V51" s="43">
        <f t="shared" si="26"/>
        <v>576</v>
      </c>
      <c r="W51" s="43">
        <f t="shared" si="19"/>
        <v>232.79999999999998</v>
      </c>
      <c r="X51" s="43">
        <f t="shared" si="20"/>
        <v>94.089999999999989</v>
      </c>
      <c r="AA51" s="33"/>
    </row>
    <row r="52" spans="2:27" x14ac:dyDescent="0.25">
      <c r="B52" s="31"/>
      <c r="C52" s="53"/>
      <c r="E52" s="41">
        <f t="shared" si="21"/>
        <v>136</v>
      </c>
      <c r="F52" s="42">
        <f t="shared" si="22"/>
        <v>8.1</v>
      </c>
      <c r="G52" s="43">
        <f t="shared" si="23"/>
        <v>18496</v>
      </c>
      <c r="H52" s="43">
        <f t="shared" si="17"/>
        <v>1101.5999999999999</v>
      </c>
      <c r="I52" s="43">
        <f t="shared" si="18"/>
        <v>65.61</v>
      </c>
      <c r="L52" s="33"/>
      <c r="Q52" s="31"/>
      <c r="R52" s="53"/>
      <c r="T52" s="41">
        <f t="shared" si="24"/>
        <v>27</v>
      </c>
      <c r="U52" s="42">
        <f t="shared" si="25"/>
        <v>7</v>
      </c>
      <c r="V52" s="43">
        <f t="shared" si="26"/>
        <v>729</v>
      </c>
      <c r="W52" s="43">
        <f t="shared" si="19"/>
        <v>189</v>
      </c>
      <c r="X52" s="43">
        <f t="shared" si="20"/>
        <v>49</v>
      </c>
      <c r="AA52" s="33"/>
    </row>
    <row r="53" spans="2:27" x14ac:dyDescent="0.25">
      <c r="B53" s="31"/>
      <c r="C53" s="53"/>
      <c r="E53" s="41">
        <f t="shared" si="21"/>
        <v>67</v>
      </c>
      <c r="F53" s="42">
        <f t="shared" si="22"/>
        <v>9.6</v>
      </c>
      <c r="G53" s="43">
        <f t="shared" si="23"/>
        <v>4489</v>
      </c>
      <c r="H53" s="43">
        <f t="shared" si="17"/>
        <v>643.19999999999993</v>
      </c>
      <c r="I53" s="43">
        <f t="shared" si="18"/>
        <v>92.16</v>
      </c>
      <c r="L53" s="33"/>
      <c r="Q53" s="31"/>
      <c r="R53" s="53"/>
      <c r="T53" s="41">
        <f t="shared" si="24"/>
        <v>37</v>
      </c>
      <c r="U53" s="42">
        <f t="shared" si="25"/>
        <v>8.5</v>
      </c>
      <c r="V53" s="43">
        <f t="shared" si="26"/>
        <v>1369</v>
      </c>
      <c r="W53" s="43">
        <f t="shared" si="19"/>
        <v>314.5</v>
      </c>
      <c r="X53" s="43">
        <f t="shared" si="20"/>
        <v>72.25</v>
      </c>
      <c r="AA53" s="33"/>
    </row>
    <row r="54" spans="2:27" x14ac:dyDescent="0.25">
      <c r="B54" s="31"/>
      <c r="C54" s="53"/>
      <c r="E54" s="41">
        <f>SUM(E44:E53)</f>
        <v>869</v>
      </c>
      <c r="F54" s="41">
        <f t="shared" ref="F54" si="27">SUM(F44:F53)</f>
        <v>75.839999999999989</v>
      </c>
      <c r="G54" s="41">
        <f t="shared" ref="G54" si="28">SUM(G44:G53)</f>
        <v>90835</v>
      </c>
      <c r="H54" s="41">
        <f t="shared" ref="H54" si="29">SUM(H44:H53)</f>
        <v>6708.3200000000006</v>
      </c>
      <c r="I54" s="41">
        <f t="shared" ref="I54" si="30">SUM(I44:I53)</f>
        <v>583.08079999999995</v>
      </c>
      <c r="L54" s="33"/>
      <c r="Q54" s="31"/>
      <c r="R54" s="53"/>
      <c r="T54" s="41">
        <f>SUM(T44:T53)</f>
        <v>366</v>
      </c>
      <c r="U54" s="41">
        <f t="shared" ref="U54" si="31">SUM(U44:U53)</f>
        <v>90.39</v>
      </c>
      <c r="V54" s="41">
        <f t="shared" ref="V54" si="32">SUM(V44:V53)</f>
        <v>14672</v>
      </c>
      <c r="W54" s="41">
        <f t="shared" ref="W54" si="33">SUM(W44:W53)</f>
        <v>3392.8900000000003</v>
      </c>
      <c r="X54" s="41">
        <f t="shared" ref="X54" si="34">SUM(X44:X53)</f>
        <v>834.6821000000001</v>
      </c>
      <c r="AA54" s="33"/>
    </row>
    <row r="55" spans="2:27" x14ac:dyDescent="0.25">
      <c r="B55" s="31"/>
      <c r="C55" s="53"/>
      <c r="E55" s="29" t="s">
        <v>42</v>
      </c>
      <c r="F55" s="29">
        <f>MIN(F44:F53)</f>
        <v>6.8</v>
      </c>
      <c r="L55" s="33"/>
      <c r="Q55" s="31"/>
      <c r="R55" s="53"/>
      <c r="T55" s="29" t="s">
        <v>42</v>
      </c>
      <c r="U55" s="29">
        <f>MIN(U44:U53)</f>
        <v>6.89</v>
      </c>
      <c r="AA55" s="33"/>
    </row>
    <row r="56" spans="2:27" x14ac:dyDescent="0.25">
      <c r="B56" s="31"/>
      <c r="C56" s="53"/>
      <c r="E56" s="29" t="s">
        <v>43</v>
      </c>
      <c r="F56" s="29">
        <f>MAX(F44:F53)</f>
        <v>9.6</v>
      </c>
      <c r="L56" s="33"/>
      <c r="Q56" s="31"/>
      <c r="R56" s="53"/>
      <c r="T56" s="29" t="s">
        <v>43</v>
      </c>
      <c r="U56" s="29">
        <f>MAX(U44:U53)</f>
        <v>10.8</v>
      </c>
      <c r="AA56" s="33"/>
    </row>
    <row r="57" spans="2:27" x14ac:dyDescent="0.25">
      <c r="B57" s="31"/>
      <c r="C57" s="53"/>
      <c r="L57" s="33"/>
      <c r="Q57" s="31"/>
      <c r="R57" s="53"/>
      <c r="AA57" s="33"/>
    </row>
    <row r="58" spans="2:27" x14ac:dyDescent="0.25">
      <c r="B58" s="31"/>
      <c r="C58" s="53"/>
      <c r="E58" s="44" t="s">
        <v>40</v>
      </c>
      <c r="F58" s="45"/>
      <c r="G58" s="46"/>
      <c r="I58" s="29">
        <f>((F54*G54)-(E54*H54))/((C15*G54)-(E54^2))</f>
        <v>6.9156161343177338</v>
      </c>
      <c r="L58" s="33"/>
      <c r="Q58" s="31"/>
      <c r="R58" s="53"/>
      <c r="T58" s="44" t="s">
        <v>40</v>
      </c>
      <c r="U58" s="45"/>
      <c r="V58" s="46"/>
      <c r="X58" s="29">
        <f>((U54*V54)-(T54*W54))/((R15*V54)-(T54^2))</f>
        <v>6.6126872453776127</v>
      </c>
      <c r="AA58" s="33"/>
    </row>
    <row r="59" spans="2:27" x14ac:dyDescent="0.25">
      <c r="B59" s="31"/>
      <c r="C59" s="53"/>
      <c r="E59" s="47" t="s">
        <v>100</v>
      </c>
      <c r="F59" s="48"/>
      <c r="G59" s="49"/>
      <c r="L59" s="33"/>
      <c r="Q59" s="31"/>
      <c r="R59" s="53"/>
      <c r="T59" s="47" t="s">
        <v>100</v>
      </c>
      <c r="U59" s="48"/>
      <c r="V59" s="49"/>
      <c r="AA59" s="33"/>
    </row>
    <row r="60" spans="2:27" x14ac:dyDescent="0.25">
      <c r="B60" s="31"/>
      <c r="C60" s="53"/>
      <c r="L60" s="33"/>
      <c r="Q60" s="31"/>
      <c r="R60" s="53"/>
      <c r="AA60" s="33"/>
    </row>
    <row r="61" spans="2:27" x14ac:dyDescent="0.25">
      <c r="B61" s="31"/>
      <c r="C61" s="53"/>
      <c r="E61" s="44" t="s">
        <v>41</v>
      </c>
      <c r="F61" s="45"/>
      <c r="G61" s="46"/>
      <c r="I61" s="29">
        <f>(((C15*H54)-(E54*F54))/((C15*G54)-(E54)^2))</f>
        <v>7.6914138743644769E-3</v>
      </c>
      <c r="L61" s="33"/>
      <c r="Q61" s="31"/>
      <c r="R61" s="53"/>
      <c r="T61" s="44" t="s">
        <v>41</v>
      </c>
      <c r="U61" s="45"/>
      <c r="V61" s="46"/>
      <c r="X61" s="29">
        <f>(((R15*W54)-(T54*U54))/((R15*V54)-(T54)^2))</f>
        <v>6.6292698213726381E-2</v>
      </c>
      <c r="AA61" s="33"/>
    </row>
    <row r="62" spans="2:27" x14ac:dyDescent="0.25">
      <c r="B62" s="31"/>
      <c r="C62" s="53"/>
      <c r="E62" s="47" t="s">
        <v>100</v>
      </c>
      <c r="F62" s="48"/>
      <c r="G62" s="49"/>
      <c r="L62" s="33"/>
      <c r="Q62" s="31"/>
      <c r="R62" s="53"/>
      <c r="T62" s="47" t="s">
        <v>100</v>
      </c>
      <c r="U62" s="48"/>
      <c r="V62" s="49"/>
      <c r="AA62" s="33"/>
    </row>
    <row r="63" spans="2:27" x14ac:dyDescent="0.25">
      <c r="B63" s="31"/>
      <c r="C63" s="53"/>
      <c r="L63" s="33"/>
      <c r="Q63" s="31"/>
      <c r="R63" s="53"/>
      <c r="AA63" s="33"/>
    </row>
    <row r="64" spans="2:27" x14ac:dyDescent="0.25">
      <c r="B64" s="31"/>
      <c r="C64" s="53"/>
      <c r="E64" s="50" t="s">
        <v>47</v>
      </c>
      <c r="F64" s="51"/>
      <c r="G64" s="52"/>
      <c r="I64" s="29">
        <f>I58+(I61*Sheet1!E37)</f>
        <v>7.5693863136387147</v>
      </c>
      <c r="J64" s="29" t="s">
        <v>49</v>
      </c>
      <c r="L64" s="33"/>
      <c r="Q64" s="31"/>
      <c r="R64" s="53"/>
      <c r="T64" s="50" t="s">
        <v>47</v>
      </c>
      <c r="U64" s="51"/>
      <c r="V64" s="52"/>
      <c r="X64" s="29">
        <f>X58+(X61*Sheet1!E37)</f>
        <v>12.247566593544356</v>
      </c>
      <c r="Y64" s="29" t="s">
        <v>49</v>
      </c>
      <c r="AA64" s="33"/>
    </row>
    <row r="65" spans="2:27" x14ac:dyDescent="0.25">
      <c r="B65" s="31"/>
      <c r="C65" s="47"/>
      <c r="D65" s="48"/>
      <c r="E65" s="48"/>
      <c r="F65" s="48"/>
      <c r="G65" s="48"/>
      <c r="H65" s="48"/>
      <c r="I65" s="48"/>
      <c r="J65" s="48"/>
      <c r="K65" s="48"/>
      <c r="L65" s="57"/>
      <c r="Q65" s="31"/>
      <c r="R65" s="47"/>
      <c r="S65" s="48"/>
      <c r="T65" s="48"/>
      <c r="U65" s="48"/>
      <c r="V65" s="48"/>
      <c r="W65" s="48"/>
      <c r="X65" s="48"/>
      <c r="Y65" s="48"/>
      <c r="Z65" s="48"/>
      <c r="AA65" s="57"/>
    </row>
    <row r="66" spans="2:27" x14ac:dyDescent="0.25">
      <c r="B66" s="31"/>
      <c r="C66" s="498" t="s">
        <v>50</v>
      </c>
      <c r="D66" s="499"/>
      <c r="E66" s="45"/>
      <c r="F66" s="45"/>
      <c r="G66" s="45"/>
      <c r="H66" s="45"/>
      <c r="I66" s="45"/>
      <c r="J66" s="45"/>
      <c r="K66" s="45"/>
      <c r="L66" s="58"/>
      <c r="Q66" s="31"/>
      <c r="R66" s="498" t="s">
        <v>50</v>
      </c>
      <c r="S66" s="499"/>
      <c r="T66" s="45"/>
      <c r="U66" s="45"/>
      <c r="V66" s="45"/>
      <c r="W66" s="45"/>
      <c r="X66" s="45"/>
      <c r="Y66" s="45"/>
      <c r="Z66" s="45"/>
      <c r="AA66" s="58"/>
    </row>
    <row r="67" spans="2:27" x14ac:dyDescent="0.25">
      <c r="B67" s="31"/>
      <c r="C67" s="53"/>
      <c r="E67" s="40" t="s">
        <v>44</v>
      </c>
      <c r="F67" s="40" t="s">
        <v>52</v>
      </c>
      <c r="G67" s="40" t="s">
        <v>37</v>
      </c>
      <c r="H67" s="40" t="s">
        <v>38</v>
      </c>
      <c r="I67" s="40" t="s">
        <v>39</v>
      </c>
      <c r="L67" s="33"/>
      <c r="Q67" s="31"/>
      <c r="R67" s="53"/>
      <c r="T67" s="40" t="s">
        <v>44</v>
      </c>
      <c r="U67" s="40" t="s">
        <v>52</v>
      </c>
      <c r="V67" s="40" t="s">
        <v>37</v>
      </c>
      <c r="W67" s="40" t="s">
        <v>38</v>
      </c>
      <c r="X67" s="40" t="s">
        <v>39</v>
      </c>
      <c r="AA67" s="33"/>
    </row>
    <row r="68" spans="2:27" x14ac:dyDescent="0.25">
      <c r="B68" s="31"/>
      <c r="C68" s="53"/>
      <c r="E68" s="41">
        <f>E6</f>
        <v>100</v>
      </c>
      <c r="F68" s="42">
        <f>I6</f>
        <v>2.4300000000000002</v>
      </c>
      <c r="G68" s="43">
        <f>E68^2</f>
        <v>10000</v>
      </c>
      <c r="H68" s="43">
        <f t="shared" ref="H68:H77" si="35">E68*F68</f>
        <v>243.00000000000003</v>
      </c>
      <c r="I68" s="43">
        <f t="shared" ref="I68:I77" si="36">F68^2</f>
        <v>5.9049000000000005</v>
      </c>
      <c r="L68" s="33"/>
      <c r="Q68" s="31"/>
      <c r="R68" s="53"/>
      <c r="T68" s="41">
        <f>T6</f>
        <v>37</v>
      </c>
      <c r="U68" s="42">
        <f>X6</f>
        <v>2.8</v>
      </c>
      <c r="V68" s="43">
        <f>T68^2</f>
        <v>1369</v>
      </c>
      <c r="W68" s="43">
        <f t="shared" ref="W68:W77" si="37">T68*U68</f>
        <v>103.6</v>
      </c>
      <c r="X68" s="43">
        <f t="shared" ref="X68:X77" si="38">U68^2</f>
        <v>7.839999999999999</v>
      </c>
      <c r="AA68" s="33"/>
    </row>
    <row r="69" spans="2:27" x14ac:dyDescent="0.25">
      <c r="B69" s="31"/>
      <c r="C69" s="53"/>
      <c r="E69" s="41">
        <f t="shared" ref="E69:E77" si="39">E7</f>
        <v>38</v>
      </c>
      <c r="F69" s="42">
        <f t="shared" ref="F69:F77" si="40">I7</f>
        <v>2.77</v>
      </c>
      <c r="G69" s="43">
        <f t="shared" ref="G69:G77" si="41">E69^2</f>
        <v>1444</v>
      </c>
      <c r="H69" s="43">
        <f t="shared" si="35"/>
        <v>105.26</v>
      </c>
      <c r="I69" s="43">
        <f t="shared" si="36"/>
        <v>7.6729000000000003</v>
      </c>
      <c r="L69" s="33"/>
      <c r="Q69" s="31"/>
      <c r="R69" s="53"/>
      <c r="T69" s="41">
        <f t="shared" ref="T69:T77" si="42">T7</f>
        <v>35</v>
      </c>
      <c r="U69" s="42">
        <f t="shared" ref="U69:U77" si="43">X7</f>
        <v>2.7</v>
      </c>
      <c r="V69" s="43">
        <f t="shared" ref="V69:V77" si="44">T69^2</f>
        <v>1225</v>
      </c>
      <c r="W69" s="43">
        <f t="shared" si="37"/>
        <v>94.5</v>
      </c>
      <c r="X69" s="43">
        <f t="shared" si="38"/>
        <v>7.2900000000000009</v>
      </c>
      <c r="AA69" s="33"/>
    </row>
    <row r="70" spans="2:27" x14ac:dyDescent="0.25">
      <c r="B70" s="31"/>
      <c r="C70" s="53"/>
      <c r="E70" s="41">
        <f t="shared" si="39"/>
        <v>152</v>
      </c>
      <c r="F70" s="42">
        <f t="shared" si="40"/>
        <v>3.2</v>
      </c>
      <c r="G70" s="43">
        <f t="shared" si="41"/>
        <v>23104</v>
      </c>
      <c r="H70" s="43">
        <f t="shared" si="35"/>
        <v>486.40000000000003</v>
      </c>
      <c r="I70" s="43">
        <f t="shared" si="36"/>
        <v>10.240000000000002</v>
      </c>
      <c r="L70" s="33"/>
      <c r="Q70" s="31"/>
      <c r="R70" s="53"/>
      <c r="T70" s="41">
        <f t="shared" si="42"/>
        <v>37</v>
      </c>
      <c r="U70" s="42">
        <f t="shared" si="43"/>
        <v>2.8</v>
      </c>
      <c r="V70" s="43">
        <f t="shared" si="44"/>
        <v>1369</v>
      </c>
      <c r="W70" s="43">
        <f t="shared" si="37"/>
        <v>103.6</v>
      </c>
      <c r="X70" s="43">
        <f t="shared" si="38"/>
        <v>7.839999999999999</v>
      </c>
      <c r="AA70" s="33"/>
    </row>
    <row r="71" spans="2:27" x14ac:dyDescent="0.25">
      <c r="B71" s="31"/>
      <c r="C71" s="53"/>
      <c r="E71" s="41">
        <f t="shared" si="39"/>
        <v>72</v>
      </c>
      <c r="F71" s="42">
        <f t="shared" si="40"/>
        <v>2.7</v>
      </c>
      <c r="G71" s="43">
        <f t="shared" si="41"/>
        <v>5184</v>
      </c>
      <c r="H71" s="43">
        <f t="shared" si="35"/>
        <v>194.4</v>
      </c>
      <c r="I71" s="43">
        <f t="shared" si="36"/>
        <v>7.2900000000000009</v>
      </c>
      <c r="L71" s="33"/>
      <c r="Q71" s="31"/>
      <c r="R71" s="53"/>
      <c r="T71" s="41">
        <f t="shared" si="42"/>
        <v>31</v>
      </c>
      <c r="U71" s="42">
        <f t="shared" si="43"/>
        <v>1.19</v>
      </c>
      <c r="V71" s="43">
        <f t="shared" si="44"/>
        <v>961</v>
      </c>
      <c r="W71" s="43">
        <f t="shared" si="37"/>
        <v>36.89</v>
      </c>
      <c r="X71" s="43">
        <f t="shared" si="38"/>
        <v>1.4160999999999999</v>
      </c>
      <c r="AA71" s="33"/>
    </row>
    <row r="72" spans="2:27" x14ac:dyDescent="0.25">
      <c r="B72" s="31"/>
      <c r="C72" s="53"/>
      <c r="E72" s="41">
        <f t="shared" si="39"/>
        <v>48</v>
      </c>
      <c r="F72" s="42">
        <f t="shared" si="40"/>
        <v>2.4500000000000002</v>
      </c>
      <c r="G72" s="43">
        <f t="shared" si="41"/>
        <v>2304</v>
      </c>
      <c r="H72" s="43">
        <f t="shared" si="35"/>
        <v>117.60000000000001</v>
      </c>
      <c r="I72" s="43">
        <f t="shared" si="36"/>
        <v>6.0025000000000013</v>
      </c>
      <c r="L72" s="33"/>
      <c r="Q72" s="31"/>
      <c r="R72" s="53"/>
      <c r="T72" s="41">
        <f t="shared" si="42"/>
        <v>57</v>
      </c>
      <c r="U72" s="42">
        <f t="shared" si="43"/>
        <v>4.76</v>
      </c>
      <c r="V72" s="43">
        <f t="shared" si="44"/>
        <v>3249</v>
      </c>
      <c r="W72" s="43">
        <f t="shared" si="37"/>
        <v>271.32</v>
      </c>
      <c r="X72" s="43">
        <f t="shared" si="38"/>
        <v>22.657599999999999</v>
      </c>
      <c r="AA72" s="33"/>
    </row>
    <row r="73" spans="2:27" x14ac:dyDescent="0.25">
      <c r="B73" s="31"/>
      <c r="C73" s="53"/>
      <c r="E73" s="41">
        <f t="shared" si="39"/>
        <v>83</v>
      </c>
      <c r="F73" s="42">
        <f t="shared" si="40"/>
        <v>2.7</v>
      </c>
      <c r="G73" s="43">
        <f t="shared" si="41"/>
        <v>6889</v>
      </c>
      <c r="H73" s="43">
        <f t="shared" si="35"/>
        <v>224.10000000000002</v>
      </c>
      <c r="I73" s="43">
        <f t="shared" si="36"/>
        <v>7.2900000000000009</v>
      </c>
      <c r="L73" s="33"/>
      <c r="Q73" s="31"/>
      <c r="R73" s="53"/>
      <c r="T73" s="41">
        <f t="shared" si="42"/>
        <v>57</v>
      </c>
      <c r="U73" s="42">
        <f t="shared" si="43"/>
        <v>4.76</v>
      </c>
      <c r="V73" s="43">
        <f t="shared" si="44"/>
        <v>3249</v>
      </c>
      <c r="W73" s="43">
        <f t="shared" si="37"/>
        <v>271.32</v>
      </c>
      <c r="X73" s="43">
        <f t="shared" si="38"/>
        <v>22.657599999999999</v>
      </c>
      <c r="AA73" s="33"/>
    </row>
    <row r="74" spans="2:27" x14ac:dyDescent="0.25">
      <c r="B74" s="31"/>
      <c r="C74" s="53"/>
      <c r="E74" s="41">
        <f t="shared" si="39"/>
        <v>42</v>
      </c>
      <c r="F74" s="42">
        <f t="shared" si="40"/>
        <v>2.7</v>
      </c>
      <c r="G74" s="43">
        <f t="shared" si="41"/>
        <v>1764</v>
      </c>
      <c r="H74" s="43">
        <f t="shared" si="35"/>
        <v>113.4</v>
      </c>
      <c r="I74" s="43">
        <f t="shared" si="36"/>
        <v>7.2900000000000009</v>
      </c>
      <c r="L74" s="33"/>
      <c r="Q74" s="31"/>
      <c r="R74" s="53"/>
      <c r="T74" s="41">
        <f t="shared" si="42"/>
        <v>24</v>
      </c>
      <c r="U74" s="42">
        <f t="shared" si="43"/>
        <v>3.4</v>
      </c>
      <c r="V74" s="43">
        <f t="shared" si="44"/>
        <v>576</v>
      </c>
      <c r="W74" s="43">
        <f t="shared" si="37"/>
        <v>81.599999999999994</v>
      </c>
      <c r="X74" s="43">
        <f t="shared" si="38"/>
        <v>11.559999999999999</v>
      </c>
      <c r="AA74" s="33"/>
    </row>
    <row r="75" spans="2:27" x14ac:dyDescent="0.25">
      <c r="B75" s="31"/>
      <c r="C75" s="53"/>
      <c r="E75" s="41">
        <f t="shared" si="39"/>
        <v>131</v>
      </c>
      <c r="F75" s="42">
        <f t="shared" si="40"/>
        <v>2.75</v>
      </c>
      <c r="G75" s="43">
        <f t="shared" si="41"/>
        <v>17161</v>
      </c>
      <c r="H75" s="43">
        <f t="shared" si="35"/>
        <v>360.25</v>
      </c>
      <c r="I75" s="43">
        <f t="shared" si="36"/>
        <v>7.5625</v>
      </c>
      <c r="L75" s="33"/>
      <c r="Q75" s="31"/>
      <c r="R75" s="53"/>
      <c r="T75" s="41">
        <f t="shared" si="42"/>
        <v>24</v>
      </c>
      <c r="U75" s="42">
        <f t="shared" si="43"/>
        <v>3.4</v>
      </c>
      <c r="V75" s="43">
        <f t="shared" si="44"/>
        <v>576</v>
      </c>
      <c r="W75" s="43">
        <f t="shared" si="37"/>
        <v>81.599999999999994</v>
      </c>
      <c r="X75" s="43">
        <f t="shared" si="38"/>
        <v>11.559999999999999</v>
      </c>
      <c r="AA75" s="33"/>
    </row>
    <row r="76" spans="2:27" x14ac:dyDescent="0.25">
      <c r="B76" s="31"/>
      <c r="C76" s="53"/>
      <c r="E76" s="41">
        <f t="shared" si="39"/>
        <v>136</v>
      </c>
      <c r="F76" s="42">
        <f t="shared" si="40"/>
        <v>2.4</v>
      </c>
      <c r="G76" s="43">
        <f t="shared" si="41"/>
        <v>18496</v>
      </c>
      <c r="H76" s="43">
        <f t="shared" si="35"/>
        <v>326.39999999999998</v>
      </c>
      <c r="I76" s="43">
        <f t="shared" si="36"/>
        <v>5.76</v>
      </c>
      <c r="L76" s="33"/>
      <c r="Q76" s="31"/>
      <c r="R76" s="53"/>
      <c r="T76" s="41">
        <f t="shared" si="42"/>
        <v>27</v>
      </c>
      <c r="U76" s="42">
        <f t="shared" si="43"/>
        <v>2.48</v>
      </c>
      <c r="V76" s="43">
        <f t="shared" si="44"/>
        <v>729</v>
      </c>
      <c r="W76" s="43">
        <f t="shared" si="37"/>
        <v>66.959999999999994</v>
      </c>
      <c r="X76" s="43">
        <f t="shared" si="38"/>
        <v>6.1504000000000003</v>
      </c>
      <c r="AA76" s="33"/>
    </row>
    <row r="77" spans="2:27" x14ac:dyDescent="0.25">
      <c r="B77" s="31"/>
      <c r="C77" s="53"/>
      <c r="E77" s="41">
        <f t="shared" si="39"/>
        <v>67</v>
      </c>
      <c r="F77" s="42">
        <f t="shared" si="40"/>
        <v>2.8</v>
      </c>
      <c r="G77" s="43">
        <f t="shared" si="41"/>
        <v>4489</v>
      </c>
      <c r="H77" s="43">
        <f t="shared" si="35"/>
        <v>187.6</v>
      </c>
      <c r="I77" s="43">
        <f t="shared" si="36"/>
        <v>7.839999999999999</v>
      </c>
      <c r="L77" s="33"/>
      <c r="Q77" s="31"/>
      <c r="R77" s="53"/>
      <c r="T77" s="41">
        <f t="shared" si="42"/>
        <v>37</v>
      </c>
      <c r="U77" s="42">
        <f t="shared" si="43"/>
        <v>3.25</v>
      </c>
      <c r="V77" s="43">
        <f t="shared" si="44"/>
        <v>1369</v>
      </c>
      <c r="W77" s="43">
        <f t="shared" si="37"/>
        <v>120.25</v>
      </c>
      <c r="X77" s="43">
        <f t="shared" si="38"/>
        <v>10.5625</v>
      </c>
      <c r="AA77" s="33"/>
    </row>
    <row r="78" spans="2:27" x14ac:dyDescent="0.25">
      <c r="B78" s="31"/>
      <c r="C78" s="53"/>
      <c r="E78" s="41">
        <f>SUM(E68:E77)</f>
        <v>869</v>
      </c>
      <c r="F78" s="41">
        <f t="shared" ref="F78" si="45">SUM(F68:F77)</f>
        <v>26.9</v>
      </c>
      <c r="G78" s="41">
        <f t="shared" ref="G78" si="46">SUM(G68:G77)</f>
        <v>90835</v>
      </c>
      <c r="H78" s="41">
        <f t="shared" ref="H78" si="47">SUM(H68:H77)</f>
        <v>2358.4100000000003</v>
      </c>
      <c r="I78" s="41">
        <f t="shared" ref="I78" si="48">SUM(I68:I77)</f>
        <v>72.852800000000016</v>
      </c>
      <c r="L78" s="33"/>
      <c r="Q78" s="31"/>
      <c r="R78" s="53"/>
      <c r="T78" s="41">
        <f>SUM(T68:T77)</f>
        <v>366</v>
      </c>
      <c r="U78" s="41">
        <f t="shared" ref="U78" si="49">SUM(U68:U77)</f>
        <v>31.539999999999996</v>
      </c>
      <c r="V78" s="41">
        <f t="shared" ref="V78" si="50">SUM(V68:V77)</f>
        <v>14672</v>
      </c>
      <c r="W78" s="41">
        <f t="shared" ref="W78" si="51">SUM(W68:W77)</f>
        <v>1231.6400000000001</v>
      </c>
      <c r="X78" s="41">
        <f t="shared" ref="X78" si="52">SUM(X68:X77)</f>
        <v>109.53420000000001</v>
      </c>
      <c r="AA78" s="33"/>
    </row>
    <row r="79" spans="2:27" x14ac:dyDescent="0.25">
      <c r="B79" s="31"/>
      <c r="C79" s="53"/>
      <c r="E79" s="29" t="s">
        <v>42</v>
      </c>
      <c r="F79" s="29">
        <f>MIN(F68:F77)</f>
        <v>2.4</v>
      </c>
      <c r="L79" s="33"/>
      <c r="Q79" s="31"/>
      <c r="R79" s="53"/>
      <c r="T79" s="29" t="s">
        <v>42</v>
      </c>
      <c r="U79" s="29">
        <f>MIN(U68:U77)</f>
        <v>1.19</v>
      </c>
      <c r="AA79" s="33"/>
    </row>
    <row r="80" spans="2:27" x14ac:dyDescent="0.25">
      <c r="B80" s="31"/>
      <c r="C80" s="53"/>
      <c r="E80" s="29" t="s">
        <v>43</v>
      </c>
      <c r="F80" s="29">
        <f>MAX(F68:F77)</f>
        <v>3.2</v>
      </c>
      <c r="L80" s="33"/>
      <c r="Q80" s="31"/>
      <c r="R80" s="53"/>
      <c r="T80" s="29" t="s">
        <v>43</v>
      </c>
      <c r="U80" s="29">
        <f>MAX(U68:U77)</f>
        <v>4.76</v>
      </c>
      <c r="AA80" s="33"/>
    </row>
    <row r="81" spans="2:27" x14ac:dyDescent="0.25">
      <c r="B81" s="31"/>
      <c r="C81" s="53"/>
      <c r="L81" s="33"/>
      <c r="Q81" s="31"/>
      <c r="R81" s="53"/>
      <c r="AA81" s="33"/>
    </row>
    <row r="82" spans="2:27" x14ac:dyDescent="0.25">
      <c r="B82" s="31"/>
      <c r="C82" s="53"/>
      <c r="E82" s="44" t="s">
        <v>40</v>
      </c>
      <c r="F82" s="45"/>
      <c r="G82" s="46"/>
      <c r="I82" s="29">
        <f>((F78*G78)-(E78*H78))/((C15*G78)-(E78^2))</f>
        <v>2.5720071937280076</v>
      </c>
      <c r="L82" s="33"/>
      <c r="Q82" s="31"/>
      <c r="R82" s="53"/>
      <c r="T82" s="44" t="s">
        <v>40</v>
      </c>
      <c r="U82" s="45"/>
      <c r="V82" s="46"/>
      <c r="X82" s="29">
        <f>((U78*V78)-(T78*W78))/((R15*V78)-(T78^2))</f>
        <v>0.93815731745533515</v>
      </c>
      <c r="AA82" s="33"/>
    </row>
    <row r="83" spans="2:27" x14ac:dyDescent="0.25">
      <c r="B83" s="31"/>
      <c r="C83" s="53"/>
      <c r="E83" s="47" t="s">
        <v>100</v>
      </c>
      <c r="F83" s="48"/>
      <c r="G83" s="49"/>
      <c r="L83" s="33"/>
      <c r="Q83" s="31"/>
      <c r="R83" s="53"/>
      <c r="T83" s="47" t="s">
        <v>100</v>
      </c>
      <c r="U83" s="48"/>
      <c r="V83" s="49"/>
      <c r="AA83" s="33"/>
    </row>
    <row r="84" spans="2:27" x14ac:dyDescent="0.25">
      <c r="B84" s="31"/>
      <c r="C84" s="53"/>
      <c r="L84" s="33"/>
      <c r="Q84" s="31"/>
      <c r="R84" s="53"/>
      <c r="AA84" s="33"/>
    </row>
    <row r="85" spans="2:27" x14ac:dyDescent="0.25">
      <c r="B85" s="31"/>
      <c r="C85" s="53"/>
      <c r="E85" s="44" t="s">
        <v>41</v>
      </c>
      <c r="F85" s="45"/>
      <c r="G85" s="46"/>
      <c r="I85" s="29">
        <f>(((C15*H78)-(E78*F78))/((C15*G78)-(E78)^2))</f>
        <v>1.3577998420252345E-3</v>
      </c>
      <c r="L85" s="33"/>
      <c r="Q85" s="31"/>
      <c r="R85" s="53"/>
      <c r="T85" s="44" t="s">
        <v>41</v>
      </c>
      <c r="U85" s="45"/>
      <c r="V85" s="46"/>
      <c r="X85" s="29">
        <f>(((R15*W78)-(T78*U78))/((R15*V78)-(T78)^2))</f>
        <v>6.0542149796302402E-2</v>
      </c>
      <c r="AA85" s="33"/>
    </row>
    <row r="86" spans="2:27" x14ac:dyDescent="0.25">
      <c r="B86" s="31"/>
      <c r="C86" s="53"/>
      <c r="E86" s="47" t="s">
        <v>100</v>
      </c>
      <c r="F86" s="48"/>
      <c r="G86" s="49"/>
      <c r="L86" s="33"/>
      <c r="Q86" s="31"/>
      <c r="R86" s="53"/>
      <c r="T86" s="47" t="s">
        <v>100</v>
      </c>
      <c r="U86" s="48"/>
      <c r="V86" s="49"/>
      <c r="AA86" s="33"/>
    </row>
    <row r="87" spans="2:27" x14ac:dyDescent="0.25">
      <c r="B87" s="31"/>
      <c r="C87" s="53"/>
      <c r="L87" s="33"/>
      <c r="Q87" s="31"/>
      <c r="R87" s="53"/>
      <c r="AA87" s="33"/>
    </row>
    <row r="88" spans="2:27" x14ac:dyDescent="0.25">
      <c r="B88" s="31"/>
      <c r="C88" s="53"/>
      <c r="E88" s="50" t="s">
        <v>47</v>
      </c>
      <c r="F88" s="51"/>
      <c r="G88" s="52"/>
      <c r="I88" s="29">
        <f>I82+(I85*Sheet1!E37)</f>
        <v>2.6874201803001525</v>
      </c>
      <c r="J88" s="29" t="s">
        <v>56</v>
      </c>
      <c r="L88" s="33"/>
      <c r="Q88" s="31"/>
      <c r="R88" s="53"/>
      <c r="T88" s="50" t="s">
        <v>47</v>
      </c>
      <c r="U88" s="51"/>
      <c r="V88" s="52"/>
      <c r="X88" s="29">
        <f>X82+(X85*Sheet1!E37)</f>
        <v>6.0842400501410392</v>
      </c>
      <c r="Y88" s="29" t="s">
        <v>56</v>
      </c>
      <c r="AA88" s="33"/>
    </row>
    <row r="89" spans="2:27" x14ac:dyDescent="0.25">
      <c r="B89" s="31"/>
      <c r="C89" s="47"/>
      <c r="D89" s="48"/>
      <c r="E89" s="48"/>
      <c r="F89" s="48"/>
      <c r="G89" s="48"/>
      <c r="H89" s="48"/>
      <c r="I89" s="48"/>
      <c r="J89" s="48"/>
      <c r="K89" s="48"/>
      <c r="L89" s="57"/>
      <c r="Q89" s="31"/>
      <c r="R89" s="47"/>
      <c r="S89" s="48"/>
      <c r="T89" s="48"/>
      <c r="U89" s="48"/>
      <c r="V89" s="48"/>
      <c r="W89" s="48"/>
      <c r="X89" s="48"/>
      <c r="Y89" s="48"/>
      <c r="Z89" s="48"/>
      <c r="AA89" s="57"/>
    </row>
    <row r="90" spans="2:27" x14ac:dyDescent="0.25">
      <c r="B90" s="31"/>
      <c r="C90" s="498" t="s">
        <v>55</v>
      </c>
      <c r="D90" s="499"/>
      <c r="E90" s="45"/>
      <c r="F90" s="45"/>
      <c r="G90" s="45"/>
      <c r="H90" s="45"/>
      <c r="I90" s="45"/>
      <c r="J90" s="45"/>
      <c r="K90" s="45"/>
      <c r="L90" s="58"/>
      <c r="Q90" s="31"/>
      <c r="R90" s="498" t="s">
        <v>55</v>
      </c>
      <c r="S90" s="499"/>
      <c r="T90" s="45"/>
      <c r="U90" s="45"/>
      <c r="V90" s="45"/>
      <c r="W90" s="45"/>
      <c r="X90" s="45"/>
      <c r="Y90" s="45"/>
      <c r="Z90" s="45"/>
      <c r="AA90" s="58"/>
    </row>
    <row r="91" spans="2:27" x14ac:dyDescent="0.25">
      <c r="B91" s="31"/>
      <c r="C91" s="53"/>
      <c r="E91" s="40" t="s">
        <v>44</v>
      </c>
      <c r="F91" s="40" t="s">
        <v>54</v>
      </c>
      <c r="G91" s="40" t="s">
        <v>37</v>
      </c>
      <c r="H91" s="40" t="s">
        <v>38</v>
      </c>
      <c r="I91" s="40" t="s">
        <v>39</v>
      </c>
      <c r="L91" s="33"/>
      <c r="Q91" s="31"/>
      <c r="R91" s="53"/>
      <c r="T91" s="40" t="s">
        <v>44</v>
      </c>
      <c r="U91" s="40" t="s">
        <v>54</v>
      </c>
      <c r="V91" s="40" t="s">
        <v>37</v>
      </c>
      <c r="W91" s="40" t="s">
        <v>38</v>
      </c>
      <c r="X91" s="40" t="s">
        <v>39</v>
      </c>
      <c r="AA91" s="33"/>
    </row>
    <row r="92" spans="2:27" x14ac:dyDescent="0.25">
      <c r="B92" s="31"/>
      <c r="C92" s="53"/>
      <c r="E92" s="41">
        <f>E6</f>
        <v>100</v>
      </c>
      <c r="F92" s="42">
        <f>J6</f>
        <v>1.2</v>
      </c>
      <c r="G92" s="43">
        <f>E92^2</f>
        <v>10000</v>
      </c>
      <c r="H92" s="43">
        <f t="shared" ref="H92:H101" si="53">E92*F92</f>
        <v>120</v>
      </c>
      <c r="I92" s="43">
        <f t="shared" ref="I92:I101" si="54">F92^2</f>
        <v>1.44</v>
      </c>
      <c r="L92" s="33"/>
      <c r="Q92" s="31"/>
      <c r="R92" s="53"/>
      <c r="T92" s="41">
        <f>T6</f>
        <v>37</v>
      </c>
      <c r="U92" s="42">
        <f>Y6</f>
        <v>1.31</v>
      </c>
      <c r="V92" s="43">
        <f>T92^2</f>
        <v>1369</v>
      </c>
      <c r="W92" s="43">
        <f t="shared" ref="W92:W101" si="55">T92*U92</f>
        <v>48.47</v>
      </c>
      <c r="X92" s="43">
        <f t="shared" ref="X92:X101" si="56">U92^2</f>
        <v>1.7161000000000002</v>
      </c>
      <c r="AA92" s="33"/>
    </row>
    <row r="93" spans="2:27" x14ac:dyDescent="0.25">
      <c r="B93" s="31"/>
      <c r="C93" s="53"/>
      <c r="E93" s="41">
        <f t="shared" ref="E93:E101" si="57">E7</f>
        <v>38</v>
      </c>
      <c r="F93" s="42">
        <f t="shared" ref="F93:F101" si="58">J7</f>
        <v>1.37</v>
      </c>
      <c r="G93" s="43">
        <f t="shared" ref="G93:G101" si="59">E93^2</f>
        <v>1444</v>
      </c>
      <c r="H93" s="43">
        <f t="shared" si="53"/>
        <v>52.06</v>
      </c>
      <c r="I93" s="43">
        <f t="shared" si="54"/>
        <v>1.8769000000000002</v>
      </c>
      <c r="L93" s="33"/>
      <c r="Q93" s="31"/>
      <c r="R93" s="53"/>
      <c r="T93" s="41">
        <f t="shared" ref="T93:T101" si="60">T7</f>
        <v>35</v>
      </c>
      <c r="U93" s="42">
        <f t="shared" ref="U93:U101" si="61">Y7</f>
        <v>1.2</v>
      </c>
      <c r="V93" s="43">
        <f t="shared" ref="V93:V101" si="62">T93^2</f>
        <v>1225</v>
      </c>
      <c r="W93" s="43">
        <f t="shared" si="55"/>
        <v>42</v>
      </c>
      <c r="X93" s="43">
        <f t="shared" si="56"/>
        <v>1.44</v>
      </c>
      <c r="AA93" s="33"/>
    </row>
    <row r="94" spans="2:27" x14ac:dyDescent="0.25">
      <c r="B94" s="31"/>
      <c r="C94" s="53"/>
      <c r="E94" s="41">
        <f t="shared" si="57"/>
        <v>152</v>
      </c>
      <c r="F94" s="42">
        <f t="shared" si="58"/>
        <v>1.7</v>
      </c>
      <c r="G94" s="43">
        <f t="shared" si="59"/>
        <v>23104</v>
      </c>
      <c r="H94" s="43">
        <f t="shared" si="53"/>
        <v>258.39999999999998</v>
      </c>
      <c r="I94" s="43">
        <f t="shared" si="54"/>
        <v>2.8899999999999997</v>
      </c>
      <c r="L94" s="33"/>
      <c r="Q94" s="31"/>
      <c r="R94" s="53"/>
      <c r="T94" s="41">
        <f t="shared" si="60"/>
        <v>37</v>
      </c>
      <c r="U94" s="42">
        <f t="shared" si="61"/>
        <v>1.31</v>
      </c>
      <c r="V94" s="43">
        <f t="shared" si="62"/>
        <v>1369</v>
      </c>
      <c r="W94" s="43">
        <f t="shared" si="55"/>
        <v>48.47</v>
      </c>
      <c r="X94" s="43">
        <f t="shared" si="56"/>
        <v>1.7161000000000002</v>
      </c>
      <c r="AA94" s="33"/>
    </row>
    <row r="95" spans="2:27" x14ac:dyDescent="0.25">
      <c r="B95" s="31"/>
      <c r="C95" s="53"/>
      <c r="E95" s="41">
        <f t="shared" si="57"/>
        <v>72</v>
      </c>
      <c r="F95" s="42">
        <f t="shared" si="58"/>
        <v>1.25</v>
      </c>
      <c r="G95" s="43">
        <f t="shared" si="59"/>
        <v>5184</v>
      </c>
      <c r="H95" s="43">
        <f t="shared" si="53"/>
        <v>90</v>
      </c>
      <c r="I95" s="43">
        <f t="shared" si="54"/>
        <v>1.5625</v>
      </c>
      <c r="L95" s="33"/>
      <c r="Q95" s="31"/>
      <c r="R95" s="53"/>
      <c r="T95" s="41">
        <f t="shared" si="60"/>
        <v>31</v>
      </c>
      <c r="U95" s="42">
        <f t="shared" si="61"/>
        <v>1.19</v>
      </c>
      <c r="V95" s="43">
        <f t="shared" si="62"/>
        <v>961</v>
      </c>
      <c r="W95" s="43">
        <f t="shared" si="55"/>
        <v>36.89</v>
      </c>
      <c r="X95" s="43">
        <f t="shared" si="56"/>
        <v>1.4160999999999999</v>
      </c>
      <c r="AA95" s="33"/>
    </row>
    <row r="96" spans="2:27" x14ac:dyDescent="0.25">
      <c r="B96" s="31"/>
      <c r="C96" s="53"/>
      <c r="E96" s="41">
        <f t="shared" si="57"/>
        <v>48</v>
      </c>
      <c r="F96" s="42">
        <f t="shared" si="58"/>
        <v>1.28</v>
      </c>
      <c r="G96" s="43">
        <f t="shared" si="59"/>
        <v>2304</v>
      </c>
      <c r="H96" s="43">
        <f t="shared" si="53"/>
        <v>61.44</v>
      </c>
      <c r="I96" s="43">
        <f t="shared" si="54"/>
        <v>1.6384000000000001</v>
      </c>
      <c r="L96" s="33"/>
      <c r="Q96" s="31"/>
      <c r="R96" s="53"/>
      <c r="T96" s="41">
        <f t="shared" si="60"/>
        <v>57</v>
      </c>
      <c r="U96" s="42">
        <f t="shared" si="61"/>
        <v>2.29</v>
      </c>
      <c r="V96" s="43">
        <f t="shared" si="62"/>
        <v>3249</v>
      </c>
      <c r="W96" s="43">
        <f t="shared" si="55"/>
        <v>130.53</v>
      </c>
      <c r="X96" s="43">
        <f t="shared" si="56"/>
        <v>5.2441000000000004</v>
      </c>
      <c r="AA96" s="33"/>
    </row>
    <row r="97" spans="2:27" x14ac:dyDescent="0.25">
      <c r="B97" s="31"/>
      <c r="C97" s="53"/>
      <c r="E97" s="41">
        <f t="shared" si="57"/>
        <v>83</v>
      </c>
      <c r="F97" s="42">
        <f t="shared" si="58"/>
        <v>1.26</v>
      </c>
      <c r="G97" s="43">
        <f t="shared" si="59"/>
        <v>6889</v>
      </c>
      <c r="H97" s="43">
        <f t="shared" si="53"/>
        <v>104.58</v>
      </c>
      <c r="I97" s="43">
        <f t="shared" si="54"/>
        <v>1.5876000000000001</v>
      </c>
      <c r="L97" s="33"/>
      <c r="Q97" s="31"/>
      <c r="R97" s="53"/>
      <c r="T97" s="41">
        <f t="shared" si="60"/>
        <v>57</v>
      </c>
      <c r="U97" s="42">
        <f t="shared" si="61"/>
        <v>2.29</v>
      </c>
      <c r="V97" s="43">
        <f t="shared" si="62"/>
        <v>3249</v>
      </c>
      <c r="W97" s="43">
        <f t="shared" si="55"/>
        <v>130.53</v>
      </c>
      <c r="X97" s="43">
        <f t="shared" si="56"/>
        <v>5.2441000000000004</v>
      </c>
      <c r="AA97" s="33"/>
    </row>
    <row r="98" spans="2:27" x14ac:dyDescent="0.25">
      <c r="B98" s="31"/>
      <c r="C98" s="53"/>
      <c r="E98" s="41">
        <f t="shared" si="57"/>
        <v>42</v>
      </c>
      <c r="F98" s="42">
        <f t="shared" si="58"/>
        <v>1.6</v>
      </c>
      <c r="G98" s="43">
        <f t="shared" si="59"/>
        <v>1764</v>
      </c>
      <c r="H98" s="43">
        <f t="shared" si="53"/>
        <v>67.2</v>
      </c>
      <c r="I98" s="43">
        <f t="shared" si="54"/>
        <v>2.5600000000000005</v>
      </c>
      <c r="L98" s="33"/>
      <c r="Q98" s="31"/>
      <c r="R98" s="53"/>
      <c r="T98" s="41">
        <f t="shared" si="60"/>
        <v>24</v>
      </c>
      <c r="U98" s="42">
        <f t="shared" si="61"/>
        <v>1.1000000000000001</v>
      </c>
      <c r="V98" s="43">
        <f t="shared" si="62"/>
        <v>576</v>
      </c>
      <c r="W98" s="43">
        <f t="shared" si="55"/>
        <v>26.400000000000002</v>
      </c>
      <c r="X98" s="43">
        <f t="shared" si="56"/>
        <v>1.2100000000000002</v>
      </c>
      <c r="AA98" s="33"/>
    </row>
    <row r="99" spans="2:27" x14ac:dyDescent="0.25">
      <c r="B99" s="31"/>
      <c r="C99" s="53"/>
      <c r="E99" s="41">
        <f t="shared" si="57"/>
        <v>131</v>
      </c>
      <c r="F99" s="42">
        <f t="shared" si="58"/>
        <v>1.45</v>
      </c>
      <c r="G99" s="43">
        <f t="shared" si="59"/>
        <v>17161</v>
      </c>
      <c r="H99" s="43">
        <f t="shared" si="53"/>
        <v>189.95</v>
      </c>
      <c r="I99" s="43">
        <f t="shared" si="54"/>
        <v>2.1025</v>
      </c>
      <c r="L99" s="33"/>
      <c r="Q99" s="31"/>
      <c r="R99" s="53"/>
      <c r="T99" s="41">
        <f t="shared" si="60"/>
        <v>24</v>
      </c>
      <c r="U99" s="42">
        <f t="shared" si="61"/>
        <v>1.1000000000000001</v>
      </c>
      <c r="V99" s="43">
        <f t="shared" si="62"/>
        <v>576</v>
      </c>
      <c r="W99" s="43">
        <f t="shared" si="55"/>
        <v>26.400000000000002</v>
      </c>
      <c r="X99" s="43">
        <f t="shared" si="56"/>
        <v>1.2100000000000002</v>
      </c>
      <c r="AA99" s="33"/>
    </row>
    <row r="100" spans="2:27" x14ac:dyDescent="0.25">
      <c r="B100" s="31"/>
      <c r="C100" s="53"/>
      <c r="E100" s="41">
        <f t="shared" si="57"/>
        <v>136</v>
      </c>
      <c r="F100" s="42">
        <f t="shared" si="58"/>
        <v>1.33</v>
      </c>
      <c r="G100" s="43">
        <f t="shared" si="59"/>
        <v>18496</v>
      </c>
      <c r="H100" s="43">
        <f t="shared" si="53"/>
        <v>180.88</v>
      </c>
      <c r="I100" s="43">
        <f t="shared" si="54"/>
        <v>1.7689000000000001</v>
      </c>
      <c r="L100" s="33"/>
      <c r="Q100" s="31"/>
      <c r="R100" s="53"/>
      <c r="T100" s="41">
        <f t="shared" si="60"/>
        <v>27</v>
      </c>
      <c r="U100" s="42">
        <f t="shared" si="61"/>
        <v>1.01</v>
      </c>
      <c r="V100" s="43">
        <f t="shared" si="62"/>
        <v>729</v>
      </c>
      <c r="W100" s="43">
        <f t="shared" si="55"/>
        <v>27.27</v>
      </c>
      <c r="X100" s="43">
        <f t="shared" si="56"/>
        <v>1.0201</v>
      </c>
      <c r="AA100" s="33"/>
    </row>
    <row r="101" spans="2:27" x14ac:dyDescent="0.25">
      <c r="B101" s="31"/>
      <c r="C101" s="53"/>
      <c r="E101" s="41">
        <f t="shared" si="57"/>
        <v>67</v>
      </c>
      <c r="F101" s="42">
        <f t="shared" si="58"/>
        <v>1.8</v>
      </c>
      <c r="G101" s="43">
        <f t="shared" si="59"/>
        <v>4489</v>
      </c>
      <c r="H101" s="43">
        <f t="shared" si="53"/>
        <v>120.60000000000001</v>
      </c>
      <c r="I101" s="43">
        <f t="shared" si="54"/>
        <v>3.24</v>
      </c>
      <c r="L101" s="33"/>
      <c r="Q101" s="31"/>
      <c r="R101" s="53"/>
      <c r="T101" s="41">
        <f t="shared" si="60"/>
        <v>37</v>
      </c>
      <c r="U101" s="42">
        <f t="shared" si="61"/>
        <v>2.8</v>
      </c>
      <c r="V101" s="43">
        <f t="shared" si="62"/>
        <v>1369</v>
      </c>
      <c r="W101" s="43">
        <f t="shared" si="55"/>
        <v>103.6</v>
      </c>
      <c r="X101" s="43">
        <f t="shared" si="56"/>
        <v>7.839999999999999</v>
      </c>
      <c r="AA101" s="33"/>
    </row>
    <row r="102" spans="2:27" x14ac:dyDescent="0.25">
      <c r="B102" s="31"/>
      <c r="C102" s="53"/>
      <c r="E102" s="41">
        <f>SUM(E92:E101)</f>
        <v>869</v>
      </c>
      <c r="F102" s="41">
        <f t="shared" ref="F102" si="63">SUM(F92:F101)</f>
        <v>14.24</v>
      </c>
      <c r="G102" s="41">
        <f t="shared" ref="G102" si="64">SUM(G92:G101)</f>
        <v>90835</v>
      </c>
      <c r="H102" s="41">
        <f t="shared" ref="H102" si="65">SUM(H92:H101)</f>
        <v>1245.1100000000001</v>
      </c>
      <c r="I102" s="41">
        <f t="shared" ref="I102" si="66">SUM(I92:I101)</f>
        <v>20.666800000000002</v>
      </c>
      <c r="L102" s="33"/>
      <c r="Q102" s="31"/>
      <c r="R102" s="53"/>
      <c r="T102" s="41">
        <f>SUM(T92:T101)</f>
        <v>366</v>
      </c>
      <c r="U102" s="41">
        <f t="shared" ref="U102" si="67">SUM(U92:U101)</f>
        <v>15.599999999999998</v>
      </c>
      <c r="V102" s="41">
        <f t="shared" ref="V102" si="68">SUM(V92:V101)</f>
        <v>14672</v>
      </c>
      <c r="W102" s="41">
        <f t="shared" ref="W102" si="69">SUM(W92:W101)</f>
        <v>620.55999999999995</v>
      </c>
      <c r="X102" s="41">
        <f t="shared" ref="X102" si="70">SUM(X92:X101)</f>
        <v>28.056600000000003</v>
      </c>
      <c r="AA102" s="33"/>
    </row>
    <row r="103" spans="2:27" x14ac:dyDescent="0.25">
      <c r="B103" s="31"/>
      <c r="C103" s="53"/>
      <c r="E103" s="29" t="s">
        <v>42</v>
      </c>
      <c r="F103" s="29">
        <f>MIN(F92:F101)</f>
        <v>1.2</v>
      </c>
      <c r="L103" s="33"/>
      <c r="Q103" s="31"/>
      <c r="R103" s="53"/>
      <c r="T103" s="29" t="s">
        <v>42</v>
      </c>
      <c r="U103" s="29">
        <f>MIN(U92:U101)</f>
        <v>1.01</v>
      </c>
      <c r="AA103" s="33"/>
    </row>
    <row r="104" spans="2:27" x14ac:dyDescent="0.25">
      <c r="B104" s="31"/>
      <c r="C104" s="53"/>
      <c r="E104" s="29" t="s">
        <v>43</v>
      </c>
      <c r="F104" s="29">
        <f>MAX(F92:F101)</f>
        <v>1.8</v>
      </c>
      <c r="L104" s="33"/>
      <c r="Q104" s="31"/>
      <c r="R104" s="53"/>
      <c r="T104" s="29" t="s">
        <v>43</v>
      </c>
      <c r="U104" s="29">
        <f>MAX(U92:U101)</f>
        <v>2.8</v>
      </c>
      <c r="AA104" s="33"/>
    </row>
    <row r="105" spans="2:27" x14ac:dyDescent="0.25">
      <c r="B105" s="31"/>
      <c r="C105" s="53"/>
      <c r="L105" s="33"/>
      <c r="Q105" s="31"/>
      <c r="R105" s="53"/>
      <c r="AA105" s="33"/>
    </row>
    <row r="106" spans="2:27" x14ac:dyDescent="0.25">
      <c r="B106" s="31"/>
      <c r="C106" s="53"/>
      <c r="E106" s="44" t="s">
        <v>40</v>
      </c>
      <c r="F106" s="45"/>
      <c r="G106" s="46"/>
      <c r="I106" s="29">
        <f>((F102*G102)-(E102*H102))/((C15*G102)-(E102^2))</f>
        <v>1.3805809163843346</v>
      </c>
      <c r="L106" s="33"/>
      <c r="Q106" s="31"/>
      <c r="R106" s="53"/>
      <c r="T106" s="44" t="s">
        <v>40</v>
      </c>
      <c r="U106" s="45"/>
      <c r="V106" s="46"/>
      <c r="X106" s="29">
        <f>((U102*V102)-(T102*W102))/((R15*V102)-(T102^2))</f>
        <v>0.137749921654653</v>
      </c>
      <c r="AA106" s="33"/>
    </row>
    <row r="107" spans="2:27" x14ac:dyDescent="0.25">
      <c r="B107" s="31"/>
      <c r="C107" s="53"/>
      <c r="E107" s="47" t="s">
        <v>100</v>
      </c>
      <c r="F107" s="48"/>
      <c r="G107" s="49"/>
      <c r="L107" s="33"/>
      <c r="Q107" s="31"/>
      <c r="R107" s="53"/>
      <c r="T107" s="47" t="s">
        <v>100</v>
      </c>
      <c r="U107" s="48"/>
      <c r="V107" s="49"/>
      <c r="AA107" s="33"/>
    </row>
    <row r="108" spans="2:27" x14ac:dyDescent="0.25">
      <c r="B108" s="31"/>
      <c r="C108" s="53"/>
      <c r="L108" s="33"/>
      <c r="Q108" s="31"/>
      <c r="R108" s="53"/>
      <c r="AA108" s="33"/>
    </row>
    <row r="109" spans="2:27" x14ac:dyDescent="0.25">
      <c r="B109" s="31"/>
      <c r="C109" s="53"/>
      <c r="E109" s="44" t="s">
        <v>41</v>
      </c>
      <c r="F109" s="45"/>
      <c r="G109" s="46"/>
      <c r="I109" s="29">
        <f>(((C15*H102)-(E102*F102))/((C15*G102)-(E102)^2))</f>
        <v>4.9964423032987154E-4</v>
      </c>
      <c r="L109" s="33"/>
      <c r="Q109" s="31"/>
      <c r="R109" s="53"/>
      <c r="T109" s="44" t="s">
        <v>41</v>
      </c>
      <c r="U109" s="45"/>
      <c r="V109" s="46"/>
      <c r="X109" s="29">
        <f>(((R15*W102)-(T102*U102))/((R15*V102)-(T102)^2))</f>
        <v>3.885929175806957E-2</v>
      </c>
      <c r="AA109" s="33"/>
    </row>
    <row r="110" spans="2:27" x14ac:dyDescent="0.25">
      <c r="B110" s="31"/>
      <c r="C110" s="53"/>
      <c r="E110" s="47" t="s">
        <v>100</v>
      </c>
      <c r="F110" s="48"/>
      <c r="G110" s="49"/>
      <c r="L110" s="33"/>
      <c r="Q110" s="31"/>
      <c r="R110" s="53"/>
      <c r="T110" s="47" t="s">
        <v>100</v>
      </c>
      <c r="U110" s="48"/>
      <c r="V110" s="49"/>
      <c r="AA110" s="33"/>
    </row>
    <row r="111" spans="2:27" x14ac:dyDescent="0.25">
      <c r="B111" s="31"/>
      <c r="C111" s="53"/>
      <c r="L111" s="33"/>
      <c r="Q111" s="31"/>
      <c r="R111" s="53"/>
      <c r="AA111" s="33"/>
    </row>
    <row r="112" spans="2:27" x14ac:dyDescent="0.25">
      <c r="B112" s="31"/>
      <c r="C112" s="53"/>
      <c r="E112" s="50" t="s">
        <v>47</v>
      </c>
      <c r="F112" s="51"/>
      <c r="G112" s="52"/>
      <c r="I112" s="29">
        <f>I106+(I109*Sheet1!E37)</f>
        <v>1.4230506759623736</v>
      </c>
      <c r="J112" s="29" t="s">
        <v>67</v>
      </c>
      <c r="L112" s="33"/>
      <c r="Q112" s="31"/>
      <c r="R112" s="53"/>
      <c r="T112" s="50" t="s">
        <v>47</v>
      </c>
      <c r="U112" s="51"/>
      <c r="V112" s="52"/>
      <c r="X112" s="29">
        <f>X106+(X109*Sheet1!E37)</f>
        <v>3.4407897210905665</v>
      </c>
      <c r="Y112" s="29" t="s">
        <v>67</v>
      </c>
      <c r="AA112" s="33"/>
    </row>
    <row r="113" spans="2:27" ht="15.75" thickBot="1" x14ac:dyDescent="0.3">
      <c r="B113" s="37"/>
      <c r="C113" s="59"/>
      <c r="D113" s="38"/>
      <c r="E113" s="38"/>
      <c r="F113" s="38"/>
      <c r="G113" s="38"/>
      <c r="H113" s="38"/>
      <c r="I113" s="38"/>
      <c r="J113" s="38"/>
      <c r="K113" s="38"/>
      <c r="L113" s="39"/>
      <c r="Q113" s="37"/>
      <c r="R113" s="59"/>
      <c r="S113" s="38"/>
      <c r="T113" s="38"/>
      <c r="U113" s="38"/>
      <c r="V113" s="38"/>
      <c r="W113" s="38"/>
      <c r="X113" s="38"/>
      <c r="Y113" s="38"/>
      <c r="Z113" s="38"/>
      <c r="AA113" s="39"/>
    </row>
    <row r="114" spans="2:27" ht="15.75" thickBot="1" x14ac:dyDescent="0.3">
      <c r="B114" s="493" t="s">
        <v>57</v>
      </c>
      <c r="C114" s="494"/>
      <c r="D114" s="494"/>
      <c r="E114" s="494"/>
      <c r="F114" s="494"/>
      <c r="G114" s="494"/>
      <c r="H114" s="494"/>
      <c r="I114" s="494"/>
      <c r="J114" s="494"/>
      <c r="K114" s="494"/>
      <c r="L114" s="495"/>
      <c r="Q114" s="493" t="s">
        <v>57</v>
      </c>
      <c r="R114" s="494"/>
      <c r="S114" s="494"/>
      <c r="T114" s="494"/>
      <c r="U114" s="494"/>
      <c r="V114" s="494"/>
      <c r="W114" s="494"/>
      <c r="X114" s="494"/>
      <c r="Y114" s="494"/>
      <c r="Z114" s="494"/>
      <c r="AA114" s="495"/>
    </row>
    <row r="115" spans="2:27" ht="14.45" customHeight="1" x14ac:dyDescent="0.25">
      <c r="B115" s="31"/>
      <c r="C115" s="56"/>
      <c r="D115" s="56"/>
      <c r="E115" s="56"/>
      <c r="F115" s="56"/>
      <c r="G115" s="56"/>
      <c r="L115" s="33"/>
      <c r="Q115" s="31"/>
      <c r="R115" s="56"/>
      <c r="S115" s="56"/>
      <c r="T115" s="56"/>
      <c r="U115" s="56"/>
      <c r="V115" s="56"/>
      <c r="AA115" s="33"/>
    </row>
    <row r="116" spans="2:27" x14ac:dyDescent="0.25">
      <c r="B116" s="31"/>
      <c r="D116" s="61" t="str">
        <f t="shared" ref="D116:D126" si="71">D5</f>
        <v>Nama Kapal</v>
      </c>
      <c r="E116" s="61" t="s">
        <v>58</v>
      </c>
      <c r="F116" s="61" t="s">
        <v>59</v>
      </c>
      <c r="G116" s="61" t="s">
        <v>60</v>
      </c>
      <c r="H116" s="61" t="s">
        <v>61</v>
      </c>
      <c r="I116" s="61" t="s">
        <v>62</v>
      </c>
      <c r="J116" s="61" t="s">
        <v>63</v>
      </c>
      <c r="L116" s="33"/>
      <c r="Q116" s="31"/>
      <c r="S116" s="61" t="str">
        <f t="shared" ref="S116:S126" si="72">S5</f>
        <v>Nama Kapal</v>
      </c>
      <c r="T116" s="61" t="s">
        <v>58</v>
      </c>
      <c r="U116" s="61" t="s">
        <v>59</v>
      </c>
      <c r="V116" s="61" t="s">
        <v>60</v>
      </c>
      <c r="W116" s="61" t="s">
        <v>61</v>
      </c>
      <c r="X116" s="61" t="s">
        <v>62</v>
      </c>
      <c r="Y116" s="61" t="s">
        <v>63</v>
      </c>
      <c r="AA116" s="33"/>
    </row>
    <row r="117" spans="2:27" x14ac:dyDescent="0.25">
      <c r="B117" s="31"/>
      <c r="D117" s="43" t="str">
        <f t="shared" si="71"/>
        <v>ADRIATIC PRINCESS III</v>
      </c>
      <c r="E117" s="62">
        <f t="shared" ref="E117:E126" si="73">G6/H6</f>
        <v>3.3453757225433525</v>
      </c>
      <c r="F117" s="62">
        <f t="shared" ref="F117:F126" si="74">J6/H6</f>
        <v>0.17341040462427745</v>
      </c>
      <c r="G117" s="62">
        <f t="shared" ref="G117:G126" si="75">H6/I6</f>
        <v>2.8477366255144032</v>
      </c>
      <c r="H117" s="62">
        <f t="shared" ref="H117:H126" si="76">J6/I6</f>
        <v>0.49382716049382713</v>
      </c>
      <c r="I117" s="62">
        <f t="shared" ref="I117:I126" si="77">G6/I6</f>
        <v>9.526748971193415</v>
      </c>
      <c r="J117" s="62">
        <f t="shared" ref="J117:J126" si="78">H6/J6</f>
        <v>5.7666666666666666</v>
      </c>
      <c r="L117" s="33"/>
      <c r="Q117" s="31"/>
      <c r="S117" s="43" t="str">
        <f t="shared" si="72"/>
        <v>ADNOC F02</v>
      </c>
      <c r="T117" s="62">
        <f t="shared" ref="T117:T126" si="79">V6/W6</f>
        <v>3.6882352941176473</v>
      </c>
      <c r="U117" s="62">
        <f t="shared" ref="U117:U126" si="80">Y6/W6</f>
        <v>0.15411764705882353</v>
      </c>
      <c r="V117" s="62">
        <f t="shared" ref="V117:V126" si="81">W6/X6</f>
        <v>3.035714285714286</v>
      </c>
      <c r="W117" s="62">
        <f t="shared" ref="W117:W126" si="82">Y6/X6</f>
        <v>0.46785714285714292</v>
      </c>
      <c r="X117" s="62">
        <f t="shared" ref="X117:X126" si="83">V6/X6</f>
        <v>11.196428571428573</v>
      </c>
      <c r="Y117" s="62">
        <f t="shared" ref="Y117:Y126" si="84">W6/Y6</f>
        <v>6.4885496183206106</v>
      </c>
      <c r="AA117" s="33"/>
    </row>
    <row r="118" spans="2:27" x14ac:dyDescent="0.25">
      <c r="B118" s="31"/>
      <c r="D118" s="43" t="str">
        <f t="shared" si="71"/>
        <v>AIGRETTE II</v>
      </c>
      <c r="E118" s="62">
        <f t="shared" si="73"/>
        <v>3.75</v>
      </c>
      <c r="F118" s="62">
        <f t="shared" si="74"/>
        <v>0.20147058823529415</v>
      </c>
      <c r="G118" s="62">
        <f t="shared" si="75"/>
        <v>2.4548736462093861</v>
      </c>
      <c r="H118" s="62">
        <f t="shared" si="76"/>
        <v>0.49458483754512639</v>
      </c>
      <c r="I118" s="62">
        <f t="shared" si="77"/>
        <v>9.2057761732851979</v>
      </c>
      <c r="J118" s="62">
        <f t="shared" si="78"/>
        <v>4.9635036496350358</v>
      </c>
      <c r="L118" s="33"/>
      <c r="Q118" s="31"/>
      <c r="S118" s="43" t="str">
        <f t="shared" si="72"/>
        <v>LILLEØRE</v>
      </c>
      <c r="T118" s="62">
        <f t="shared" si="79"/>
        <v>3.54</v>
      </c>
      <c r="U118" s="62">
        <f t="shared" si="80"/>
        <v>0.12</v>
      </c>
      <c r="V118" s="62">
        <f t="shared" si="81"/>
        <v>3.7037037037037033</v>
      </c>
      <c r="W118" s="62">
        <f t="shared" si="82"/>
        <v>0.44444444444444442</v>
      </c>
      <c r="X118" s="62">
        <f t="shared" si="83"/>
        <v>13.111111111111109</v>
      </c>
      <c r="Y118" s="62">
        <f t="shared" si="84"/>
        <v>8.3333333333333339</v>
      </c>
      <c r="AA118" s="33"/>
    </row>
    <row r="119" spans="2:27" x14ac:dyDescent="0.25">
      <c r="B119" s="31"/>
      <c r="D119" s="43" t="str">
        <f t="shared" si="71"/>
        <v>CAPITAINE NEMO</v>
      </c>
      <c r="E119" s="62">
        <f t="shared" si="73"/>
        <v>2.8235294117647061</v>
      </c>
      <c r="F119" s="62">
        <f t="shared" si="74"/>
        <v>0.19999999999999998</v>
      </c>
      <c r="G119" s="62">
        <f t="shared" si="75"/>
        <v>2.65625</v>
      </c>
      <c r="H119" s="62">
        <f t="shared" si="76"/>
        <v>0.53125</v>
      </c>
      <c r="I119" s="62">
        <f t="shared" si="77"/>
        <v>7.5</v>
      </c>
      <c r="J119" s="62">
        <f t="shared" si="78"/>
        <v>5</v>
      </c>
      <c r="L119" s="33"/>
      <c r="Q119" s="31"/>
      <c r="S119" s="43" t="str">
        <f t="shared" si="72"/>
        <v>NAUTIKA</v>
      </c>
      <c r="T119" s="62">
        <f t="shared" si="79"/>
        <v>3.8470588235294123</v>
      </c>
      <c r="U119" s="62">
        <f t="shared" si="80"/>
        <v>0.15411764705882353</v>
      </c>
      <c r="V119" s="62">
        <f t="shared" si="81"/>
        <v>3.035714285714286</v>
      </c>
      <c r="W119" s="62">
        <f t="shared" si="82"/>
        <v>0.46785714285714292</v>
      </c>
      <c r="X119" s="62">
        <f t="shared" si="83"/>
        <v>11.678571428571431</v>
      </c>
      <c r="Y119" s="62">
        <f t="shared" si="84"/>
        <v>6.4885496183206106</v>
      </c>
      <c r="AA119" s="33"/>
    </row>
    <row r="120" spans="2:27" x14ac:dyDescent="0.25">
      <c r="B120" s="31"/>
      <c r="D120" s="43" t="str">
        <f t="shared" si="71"/>
        <v>ARGYLL FLYER</v>
      </c>
      <c r="E120" s="62">
        <f t="shared" si="73"/>
        <v>3.8171428571428572</v>
      </c>
      <c r="F120" s="62">
        <f t="shared" si="74"/>
        <v>0.17857142857142858</v>
      </c>
      <c r="G120" s="62">
        <f t="shared" si="75"/>
        <v>2.5925925925925926</v>
      </c>
      <c r="H120" s="62">
        <f t="shared" si="76"/>
        <v>0.46296296296296291</v>
      </c>
      <c r="I120" s="62">
        <f t="shared" si="77"/>
        <v>9.8962962962962955</v>
      </c>
      <c r="J120" s="62">
        <f t="shared" si="78"/>
        <v>5.6</v>
      </c>
      <c r="L120" s="33"/>
      <c r="Q120" s="31"/>
      <c r="S120" s="43" t="str">
        <f t="shared" si="72"/>
        <v>QUEEN STAR 5</v>
      </c>
      <c r="T120" s="62">
        <f t="shared" si="79"/>
        <v>4.368650217706822</v>
      </c>
      <c r="U120" s="62">
        <f t="shared" si="80"/>
        <v>0.17271407837445574</v>
      </c>
      <c r="V120" s="62">
        <f t="shared" si="81"/>
        <v>5.7899159663865545</v>
      </c>
      <c r="W120" s="62">
        <f t="shared" si="82"/>
        <v>1</v>
      </c>
      <c r="X120" s="62">
        <f t="shared" si="83"/>
        <v>25.294117647058826</v>
      </c>
      <c r="Y120" s="62">
        <f t="shared" si="84"/>
        <v>5.7899159663865545</v>
      </c>
      <c r="AA120" s="33"/>
    </row>
    <row r="121" spans="2:27" x14ac:dyDescent="0.25">
      <c r="B121" s="31"/>
      <c r="D121" s="43" t="str">
        <f t="shared" si="71"/>
        <v>GLENN II</v>
      </c>
      <c r="E121" s="62">
        <f t="shared" si="73"/>
        <v>3.8823529411764706</v>
      </c>
      <c r="F121" s="62">
        <f t="shared" si="74"/>
        <v>0.18823529411764706</v>
      </c>
      <c r="G121" s="62">
        <f t="shared" si="75"/>
        <v>2.7755102040816322</v>
      </c>
      <c r="H121" s="62">
        <f t="shared" si="76"/>
        <v>0.52244897959183667</v>
      </c>
      <c r="I121" s="62">
        <f t="shared" si="77"/>
        <v>10.77551020408163</v>
      </c>
      <c r="J121" s="62">
        <f t="shared" si="78"/>
        <v>5.3125</v>
      </c>
      <c r="L121" s="33"/>
      <c r="Q121" s="31"/>
      <c r="S121" s="43" t="str">
        <f t="shared" si="72"/>
        <v>UMO GREEN</v>
      </c>
      <c r="T121" s="62">
        <f t="shared" si="79"/>
        <v>2.5555555555555554</v>
      </c>
      <c r="U121" s="62">
        <f t="shared" si="80"/>
        <v>0.21203703703703702</v>
      </c>
      <c r="V121" s="62">
        <f t="shared" si="81"/>
        <v>2.2689075630252105</v>
      </c>
      <c r="W121" s="62">
        <f t="shared" si="82"/>
        <v>0.48109243697478993</v>
      </c>
      <c r="X121" s="62">
        <f t="shared" si="83"/>
        <v>5.7983193277310932</v>
      </c>
      <c r="Y121" s="62">
        <f t="shared" si="84"/>
        <v>4.716157205240175</v>
      </c>
      <c r="AA121" s="33"/>
    </row>
    <row r="122" spans="2:27" x14ac:dyDescent="0.25">
      <c r="B122" s="31"/>
      <c r="D122" s="43" t="str">
        <f t="shared" si="71"/>
        <v>COUMBA CASTEL</v>
      </c>
      <c r="E122" s="62">
        <f t="shared" si="73"/>
        <v>3.9437500000000001</v>
      </c>
      <c r="F122" s="62">
        <f t="shared" si="74"/>
        <v>0.1575</v>
      </c>
      <c r="G122" s="62">
        <f t="shared" si="75"/>
        <v>2.9629629629629628</v>
      </c>
      <c r="H122" s="62">
        <f t="shared" si="76"/>
        <v>0.46666666666666662</v>
      </c>
      <c r="I122" s="62">
        <f t="shared" si="77"/>
        <v>11.685185185185185</v>
      </c>
      <c r="J122" s="62">
        <f t="shared" si="78"/>
        <v>6.3492063492063489</v>
      </c>
      <c r="L122" s="33"/>
      <c r="Q122" s="31"/>
      <c r="S122" s="43" t="str">
        <f t="shared" si="72"/>
        <v>UMO JADE</v>
      </c>
      <c r="T122" s="62">
        <f t="shared" si="79"/>
        <v>2.5555555555555554</v>
      </c>
      <c r="U122" s="62">
        <f t="shared" si="80"/>
        <v>0.21203703703703702</v>
      </c>
      <c r="V122" s="62">
        <f t="shared" si="81"/>
        <v>2.2689075630252105</v>
      </c>
      <c r="W122" s="62">
        <f t="shared" si="82"/>
        <v>0.48109243697478993</v>
      </c>
      <c r="X122" s="62">
        <f t="shared" si="83"/>
        <v>5.7983193277310932</v>
      </c>
      <c r="Y122" s="62">
        <f t="shared" si="84"/>
        <v>4.716157205240175</v>
      </c>
      <c r="AA122" s="33"/>
    </row>
    <row r="123" spans="2:27" x14ac:dyDescent="0.25">
      <c r="B123" s="31"/>
      <c r="D123" s="43" t="str">
        <f t="shared" si="71"/>
        <v>DERVENN</v>
      </c>
      <c r="E123" s="62">
        <f t="shared" si="73"/>
        <v>3.9428571428571431</v>
      </c>
      <c r="F123" s="62">
        <f t="shared" si="74"/>
        <v>0.22857142857142859</v>
      </c>
      <c r="G123" s="62">
        <f t="shared" si="75"/>
        <v>2.5925925925925926</v>
      </c>
      <c r="H123" s="62">
        <f t="shared" si="76"/>
        <v>0.59259259259259256</v>
      </c>
      <c r="I123" s="62">
        <f t="shared" si="77"/>
        <v>10.222222222222221</v>
      </c>
      <c r="J123" s="62">
        <f t="shared" si="78"/>
        <v>4.375</v>
      </c>
      <c r="L123" s="33"/>
      <c r="Q123" s="31"/>
      <c r="S123" s="43" t="str">
        <f t="shared" si="72"/>
        <v>AERO 1 HIGHSPEED</v>
      </c>
      <c r="T123" s="62">
        <f t="shared" si="79"/>
        <v>3.5051546391752582</v>
      </c>
      <c r="U123" s="62">
        <f t="shared" si="80"/>
        <v>0.11340206185567012</v>
      </c>
      <c r="V123" s="62">
        <f t="shared" si="81"/>
        <v>2.8529411764705883</v>
      </c>
      <c r="W123" s="62">
        <f t="shared" si="82"/>
        <v>0.3235294117647059</v>
      </c>
      <c r="X123" s="62">
        <f t="shared" si="83"/>
        <v>10</v>
      </c>
      <c r="Y123" s="62">
        <f t="shared" si="84"/>
        <v>8.8181818181818166</v>
      </c>
      <c r="AA123" s="33"/>
    </row>
    <row r="124" spans="2:27" x14ac:dyDescent="0.25">
      <c r="B124" s="31"/>
      <c r="D124" s="43" t="str">
        <f t="shared" si="71"/>
        <v>RIOMAIOR</v>
      </c>
      <c r="E124" s="62">
        <f t="shared" si="73"/>
        <v>4.0379213483146064</v>
      </c>
      <c r="F124" s="62">
        <f t="shared" si="74"/>
        <v>0.20365168539325842</v>
      </c>
      <c r="G124" s="62">
        <f t="shared" si="75"/>
        <v>2.5890909090909093</v>
      </c>
      <c r="H124" s="62">
        <f t="shared" si="76"/>
        <v>0.52727272727272723</v>
      </c>
      <c r="I124" s="62">
        <f t="shared" si="77"/>
        <v>10.454545454545455</v>
      </c>
      <c r="J124" s="62">
        <f t="shared" si="78"/>
        <v>4.9103448275862069</v>
      </c>
      <c r="L124" s="33"/>
      <c r="Q124" s="31"/>
      <c r="S124" s="43" t="str">
        <f t="shared" si="72"/>
        <v>AERO 3 HIGHSPEED</v>
      </c>
      <c r="T124" s="62">
        <f t="shared" si="79"/>
        <v>3.5051546391752582</v>
      </c>
      <c r="U124" s="62">
        <f t="shared" si="80"/>
        <v>0.11340206185567012</v>
      </c>
      <c r="V124" s="62">
        <f t="shared" si="81"/>
        <v>2.8529411764705883</v>
      </c>
      <c r="W124" s="62">
        <f t="shared" si="82"/>
        <v>0.3235294117647059</v>
      </c>
      <c r="X124" s="62">
        <f t="shared" si="83"/>
        <v>10</v>
      </c>
      <c r="Y124" s="62">
        <f t="shared" si="84"/>
        <v>8.8181818181818166</v>
      </c>
      <c r="AA124" s="33"/>
    </row>
    <row r="125" spans="2:27" x14ac:dyDescent="0.25">
      <c r="B125" s="31"/>
      <c r="D125" s="43" t="str">
        <f t="shared" si="71"/>
        <v>JOLY FRANCE</v>
      </c>
      <c r="E125" s="62">
        <f t="shared" si="73"/>
        <v>3.2925925925925927</v>
      </c>
      <c r="F125" s="62">
        <f t="shared" si="74"/>
        <v>0.16419753086419756</v>
      </c>
      <c r="G125" s="62">
        <f t="shared" si="75"/>
        <v>3.375</v>
      </c>
      <c r="H125" s="62">
        <f t="shared" si="76"/>
        <v>0.5541666666666667</v>
      </c>
      <c r="I125" s="62">
        <f t="shared" si="77"/>
        <v>11.112500000000001</v>
      </c>
      <c r="J125" s="62">
        <f t="shared" si="78"/>
        <v>6.0902255639097742</v>
      </c>
      <c r="L125" s="33"/>
      <c r="Q125" s="31"/>
      <c r="S125" s="43" t="str">
        <f t="shared" si="72"/>
        <v>BADJI MOKHTAR II</v>
      </c>
      <c r="T125" s="62">
        <f t="shared" si="79"/>
        <v>4.5</v>
      </c>
      <c r="U125" s="62">
        <f t="shared" si="80"/>
        <v>0.14428571428571429</v>
      </c>
      <c r="V125" s="62">
        <f t="shared" si="81"/>
        <v>2.8225806451612905</v>
      </c>
      <c r="W125" s="62">
        <f t="shared" si="82"/>
        <v>0.40725806451612906</v>
      </c>
      <c r="X125" s="62">
        <f t="shared" si="83"/>
        <v>12.701612903225806</v>
      </c>
      <c r="Y125" s="62">
        <f t="shared" si="84"/>
        <v>6.9306930693069306</v>
      </c>
      <c r="AA125" s="33"/>
    </row>
    <row r="126" spans="2:27" x14ac:dyDescent="0.25">
      <c r="B126" s="31"/>
      <c r="D126" s="43" t="str">
        <f t="shared" si="71"/>
        <v>LANGKAWI FERRY 2</v>
      </c>
      <c r="E126" s="62">
        <f t="shared" si="73"/>
        <v>2.7281250000000004</v>
      </c>
      <c r="F126" s="62">
        <f t="shared" si="74"/>
        <v>0.1875</v>
      </c>
      <c r="G126" s="62">
        <f t="shared" si="75"/>
        <v>3.4285714285714288</v>
      </c>
      <c r="H126" s="62">
        <f t="shared" si="76"/>
        <v>0.6428571428571429</v>
      </c>
      <c r="I126" s="62">
        <f t="shared" si="77"/>
        <v>9.3535714285714295</v>
      </c>
      <c r="J126" s="62">
        <f t="shared" si="78"/>
        <v>5.333333333333333</v>
      </c>
      <c r="L126" s="33"/>
      <c r="Q126" s="31"/>
      <c r="S126" s="43" t="str">
        <f t="shared" si="72"/>
        <v>KROTOA</v>
      </c>
      <c r="T126" s="62">
        <f t="shared" si="79"/>
        <v>3.8470588235294123</v>
      </c>
      <c r="U126" s="62">
        <f t="shared" si="80"/>
        <v>0.32941176470588235</v>
      </c>
      <c r="V126" s="62">
        <f t="shared" si="81"/>
        <v>2.6153846153846154</v>
      </c>
      <c r="W126" s="62">
        <f t="shared" si="82"/>
        <v>0.86153846153846148</v>
      </c>
      <c r="X126" s="62">
        <f t="shared" si="83"/>
        <v>10.061538461538463</v>
      </c>
      <c r="Y126" s="62">
        <f t="shared" si="84"/>
        <v>3.035714285714286</v>
      </c>
      <c r="AA126" s="33"/>
    </row>
    <row r="127" spans="2:27" x14ac:dyDescent="0.25">
      <c r="B127" s="31"/>
      <c r="L127" s="33"/>
      <c r="Q127" s="31"/>
      <c r="AA127" s="33"/>
    </row>
    <row r="128" spans="2:27" x14ac:dyDescent="0.25">
      <c r="B128" s="31"/>
      <c r="D128" s="43" t="s">
        <v>64</v>
      </c>
      <c r="E128" s="62">
        <f>MIN(E117:E126)</f>
        <v>2.7281250000000004</v>
      </c>
      <c r="F128" s="62">
        <f t="shared" ref="F128:J128" si="85">MIN(F117:F126)</f>
        <v>0.1575</v>
      </c>
      <c r="G128" s="62">
        <f t="shared" si="85"/>
        <v>2.4548736462093861</v>
      </c>
      <c r="H128" s="62">
        <f t="shared" si="85"/>
        <v>0.46296296296296291</v>
      </c>
      <c r="I128" s="62">
        <f t="shared" si="85"/>
        <v>7.5</v>
      </c>
      <c r="J128" s="62">
        <f t="shared" si="85"/>
        <v>4.375</v>
      </c>
      <c r="L128" s="33"/>
      <c r="Q128" s="31"/>
      <c r="S128" s="43" t="s">
        <v>64</v>
      </c>
      <c r="T128" s="62">
        <f>MIN(T117:T126)</f>
        <v>2.5555555555555554</v>
      </c>
      <c r="U128" s="62">
        <f t="shared" ref="U128:Y128" si="86">MIN(U117:U126)</f>
        <v>0.11340206185567012</v>
      </c>
      <c r="V128" s="62">
        <f t="shared" si="86"/>
        <v>2.2689075630252105</v>
      </c>
      <c r="W128" s="62">
        <f t="shared" si="86"/>
        <v>0.3235294117647059</v>
      </c>
      <c r="X128" s="62">
        <f t="shared" si="86"/>
        <v>5.7983193277310932</v>
      </c>
      <c r="Y128" s="62">
        <f t="shared" si="86"/>
        <v>3.035714285714286</v>
      </c>
      <c r="AA128" s="33"/>
    </row>
    <row r="129" spans="2:30" x14ac:dyDescent="0.25">
      <c r="B129" s="31"/>
      <c r="D129" s="43" t="s">
        <v>65</v>
      </c>
      <c r="E129" s="62">
        <f>MAX(E117:E126)</f>
        <v>4.0379213483146064</v>
      </c>
      <c r="F129" s="62">
        <f t="shared" ref="F129:J129" si="87">MAX(F117:F126)</f>
        <v>0.22857142857142859</v>
      </c>
      <c r="G129" s="62">
        <f t="shared" si="87"/>
        <v>3.4285714285714288</v>
      </c>
      <c r="H129" s="62">
        <f t="shared" si="87"/>
        <v>0.6428571428571429</v>
      </c>
      <c r="I129" s="62">
        <f t="shared" si="87"/>
        <v>11.685185185185185</v>
      </c>
      <c r="J129" s="62">
        <f t="shared" si="87"/>
        <v>6.3492063492063489</v>
      </c>
      <c r="L129" s="33"/>
      <c r="Q129" s="31"/>
      <c r="S129" s="43" t="s">
        <v>65</v>
      </c>
      <c r="T129" s="62">
        <f>MAX(T117:T126)</f>
        <v>4.5</v>
      </c>
      <c r="U129" s="62">
        <f t="shared" ref="U129:Y129" si="88">MAX(U117:U126)</f>
        <v>0.32941176470588235</v>
      </c>
      <c r="V129" s="62">
        <f t="shared" si="88"/>
        <v>5.7899159663865545</v>
      </c>
      <c r="W129" s="62">
        <f t="shared" si="88"/>
        <v>1</v>
      </c>
      <c r="X129" s="62">
        <f t="shared" si="88"/>
        <v>25.294117647058826</v>
      </c>
      <c r="Y129" s="62">
        <f t="shared" si="88"/>
        <v>8.8181818181818166</v>
      </c>
      <c r="AA129" s="33"/>
    </row>
    <row r="130" spans="2:30" x14ac:dyDescent="0.25">
      <c r="B130" s="31"/>
      <c r="L130" s="33"/>
      <c r="Q130" s="31"/>
      <c r="AA130" s="33"/>
    </row>
    <row r="131" spans="2:30" x14ac:dyDescent="0.25">
      <c r="B131" s="31"/>
      <c r="D131" s="43"/>
      <c r="E131" s="40" t="s">
        <v>58</v>
      </c>
      <c r="F131" s="40" t="s">
        <v>59</v>
      </c>
      <c r="G131" s="40" t="s">
        <v>60</v>
      </c>
      <c r="H131" s="40" t="s">
        <v>61</v>
      </c>
      <c r="I131" s="40" t="s">
        <v>62</v>
      </c>
      <c r="J131" s="40" t="s">
        <v>63</v>
      </c>
      <c r="L131" s="33"/>
      <c r="Q131" s="31"/>
      <c r="S131" s="43"/>
      <c r="T131" s="40" t="s">
        <v>58</v>
      </c>
      <c r="U131" s="40" t="s">
        <v>59</v>
      </c>
      <c r="V131" s="40" t="s">
        <v>60</v>
      </c>
      <c r="W131" s="40" t="s">
        <v>61</v>
      </c>
      <c r="X131" s="40" t="s">
        <v>62</v>
      </c>
      <c r="Y131" s="40" t="s">
        <v>63</v>
      </c>
      <c r="AA131" s="33"/>
    </row>
    <row r="132" spans="2:30" x14ac:dyDescent="0.25">
      <c r="B132" s="31"/>
      <c r="D132" s="43" t="s">
        <v>66</v>
      </c>
      <c r="E132" s="40">
        <f>I40/I64</f>
        <v>3.523000168548617</v>
      </c>
      <c r="F132" s="40">
        <f>I112/I64</f>
        <v>0.18800079913985687</v>
      </c>
      <c r="G132" s="40">
        <f>I64/I88</f>
        <v>2.816599491633387</v>
      </c>
      <c r="H132" s="40">
        <f>I112/I88</f>
        <v>0.52952295528399129</v>
      </c>
      <c r="I132" s="40">
        <f>I40/I88</f>
        <v>9.9228804837583713</v>
      </c>
      <c r="J132" s="40">
        <f>I64/I112</f>
        <v>5.3191263259263257</v>
      </c>
      <c r="L132" s="33"/>
      <c r="Q132" s="31"/>
      <c r="S132" s="43" t="s">
        <v>66</v>
      </c>
      <c r="T132" s="40">
        <f>X40/X64</f>
        <v>1.9079052663266636</v>
      </c>
      <c r="U132" s="40">
        <f>X112/X64</f>
        <v>0.28093660032877005</v>
      </c>
      <c r="V132" s="40">
        <f>X64/X88</f>
        <v>2.0129985820103276</v>
      </c>
      <c r="W132" s="40">
        <f>X112/X88</f>
        <v>0.56552497809661628</v>
      </c>
      <c r="X132" s="40">
        <f>X40/X88</f>
        <v>3.84061059572561</v>
      </c>
      <c r="Y132" s="40">
        <f>X64/X112</f>
        <v>3.5595219662718769</v>
      </c>
      <c r="AA132" s="33"/>
    </row>
    <row r="133" spans="2:30" ht="15.75" thickBot="1" x14ac:dyDescent="0.3">
      <c r="B133" s="31"/>
      <c r="L133" s="33"/>
      <c r="Q133" s="37"/>
      <c r="R133" s="38"/>
      <c r="S133" s="38"/>
      <c r="T133" s="38"/>
      <c r="U133" s="38"/>
      <c r="V133" s="38"/>
      <c r="W133" s="38"/>
      <c r="X133" s="38"/>
      <c r="Y133" s="38"/>
      <c r="Z133" s="38"/>
      <c r="AA133" s="39"/>
    </row>
    <row r="134" spans="2:30" ht="15" customHeight="1" thickBot="1" x14ac:dyDescent="0.3">
      <c r="B134" s="493" t="s">
        <v>103</v>
      </c>
      <c r="C134" s="494"/>
      <c r="D134" s="494"/>
      <c r="E134" s="494"/>
      <c r="F134" s="494"/>
      <c r="G134" s="494"/>
      <c r="H134" s="494"/>
      <c r="I134" s="494"/>
      <c r="J134" s="494"/>
      <c r="K134" s="494"/>
      <c r="L134" s="494"/>
      <c r="M134" s="494"/>
      <c r="N134" s="494"/>
      <c r="O134" s="495"/>
      <c r="Q134" s="493" t="s">
        <v>104</v>
      </c>
      <c r="R134" s="494"/>
      <c r="S134" s="494"/>
      <c r="T134" s="494"/>
      <c r="U134" s="494"/>
      <c r="V134" s="494"/>
      <c r="W134" s="494"/>
      <c r="X134" s="494"/>
      <c r="Y134" s="494"/>
      <c r="Z134" s="494"/>
      <c r="AA134" s="494"/>
      <c r="AB134" s="494"/>
      <c r="AC134" s="494"/>
      <c r="AD134" s="495"/>
    </row>
    <row r="135" spans="2:30" x14ac:dyDescent="0.25">
      <c r="B135" s="31"/>
      <c r="Q135" s="31"/>
      <c r="AD135" s="33"/>
    </row>
    <row r="136" spans="2:30" ht="15.75" thickBot="1" x14ac:dyDescent="0.3">
      <c r="B136" s="31"/>
      <c r="Q136" s="31"/>
      <c r="AD136" s="33"/>
    </row>
    <row r="137" spans="2:30" x14ac:dyDescent="0.25">
      <c r="B137" s="31"/>
      <c r="D137" s="64" t="s">
        <v>68</v>
      </c>
      <c r="E137" s="507" t="s">
        <v>69</v>
      </c>
      <c r="F137" s="508"/>
      <c r="I137" s="29" t="s">
        <v>78</v>
      </c>
      <c r="Q137" s="31"/>
      <c r="S137" s="292" t="s">
        <v>68</v>
      </c>
      <c r="T137" s="500" t="s">
        <v>97</v>
      </c>
      <c r="U137" s="501"/>
      <c r="X137" s="29" t="s">
        <v>78</v>
      </c>
      <c r="AD137" s="33"/>
    </row>
    <row r="138" spans="2:30" x14ac:dyDescent="0.25">
      <c r="B138" s="31"/>
      <c r="D138" s="65" t="s">
        <v>70</v>
      </c>
      <c r="E138" s="63">
        <f>I40</f>
        <v>26.666949258758788</v>
      </c>
      <c r="F138" s="66" t="s">
        <v>71</v>
      </c>
      <c r="Q138" s="31"/>
      <c r="S138" s="293" t="s">
        <v>70</v>
      </c>
      <c r="T138" s="294">
        <f>X40</f>
        <v>23.367196803509792</v>
      </c>
      <c r="U138" s="295" t="s">
        <v>71</v>
      </c>
      <c r="AD138" s="33"/>
    </row>
    <row r="139" spans="2:30" x14ac:dyDescent="0.25">
      <c r="B139" s="31"/>
      <c r="D139" s="65" t="s">
        <v>74</v>
      </c>
      <c r="E139" s="63">
        <f>L139</f>
        <v>27.143999999999998</v>
      </c>
      <c r="F139" s="66" t="s">
        <v>71</v>
      </c>
      <c r="I139" s="29" t="s">
        <v>79</v>
      </c>
      <c r="J139" s="69" t="s">
        <v>80</v>
      </c>
      <c r="L139" s="29">
        <f>'Hydrostatics (Maxsurf)'!C11</f>
        <v>27.143999999999998</v>
      </c>
      <c r="M139" s="29" t="s">
        <v>71</v>
      </c>
      <c r="N139" s="29" t="s">
        <v>149</v>
      </c>
      <c r="Q139" s="31"/>
      <c r="S139" s="293" t="s">
        <v>74</v>
      </c>
      <c r="T139" s="294">
        <f>AA139</f>
        <v>23.675000000000001</v>
      </c>
      <c r="U139" s="295" t="s">
        <v>71</v>
      </c>
      <c r="X139" s="29" t="s">
        <v>79</v>
      </c>
      <c r="Y139" s="69" t="s">
        <v>80</v>
      </c>
      <c r="AA139" s="29">
        <f>'Hydrostatics (Maxsurf)'!D11</f>
        <v>23.675000000000001</v>
      </c>
      <c r="AB139" s="29" t="s">
        <v>71</v>
      </c>
      <c r="AC139" s="29" t="s">
        <v>149</v>
      </c>
      <c r="AD139" s="33"/>
    </row>
    <row r="140" spans="2:30" x14ac:dyDescent="0.25">
      <c r="B140" s="31"/>
      <c r="D140" s="65" t="s">
        <v>73</v>
      </c>
      <c r="E140" s="63">
        <f>J141</f>
        <v>28.153631679934588</v>
      </c>
      <c r="F140" s="66" t="s">
        <v>71</v>
      </c>
      <c r="I140" s="29" t="s">
        <v>73</v>
      </c>
      <c r="J140" s="69" t="s">
        <v>81</v>
      </c>
      <c r="Q140" s="31"/>
      <c r="S140" s="293" t="s">
        <v>73</v>
      </c>
      <c r="T140" s="294">
        <f>Y141</f>
        <v>24.66991802530546</v>
      </c>
      <c r="U140" s="295" t="s">
        <v>71</v>
      </c>
      <c r="X140" s="29" t="s">
        <v>73</v>
      </c>
      <c r="Y140" s="69" t="s">
        <v>81</v>
      </c>
      <c r="AD140" s="33"/>
    </row>
    <row r="141" spans="2:30" x14ac:dyDescent="0.25">
      <c r="B141" s="31"/>
      <c r="D141" s="65" t="s">
        <v>72</v>
      </c>
      <c r="E141" s="63">
        <f>I64</f>
        <v>7.5693863136387147</v>
      </c>
      <c r="F141" s="66" t="s">
        <v>71</v>
      </c>
      <c r="I141" s="70" t="s">
        <v>102</v>
      </c>
      <c r="J141" s="29">
        <f>(E138+((3/100)*E138))*1.025</f>
        <v>28.153631679934588</v>
      </c>
      <c r="Q141" s="31"/>
      <c r="S141" s="293" t="s">
        <v>99</v>
      </c>
      <c r="T141" s="294">
        <f>X64</f>
        <v>12.247566593544356</v>
      </c>
      <c r="U141" s="295" t="s">
        <v>71</v>
      </c>
      <c r="V141" s="29">
        <f>T141/2</f>
        <v>6.1237832967721779</v>
      </c>
      <c r="X141" s="70" t="s">
        <v>102</v>
      </c>
      <c r="Y141" s="29">
        <f>(T138+((3/100)*T138))*1.025</f>
        <v>24.66991802530546</v>
      </c>
      <c r="AD141" s="33"/>
    </row>
    <row r="142" spans="2:30" x14ac:dyDescent="0.25">
      <c r="B142" s="31"/>
      <c r="D142" s="65" t="s">
        <v>75</v>
      </c>
      <c r="E142" s="63">
        <f>I88</f>
        <v>2.6874201803001525</v>
      </c>
      <c r="F142" s="66" t="s">
        <v>71</v>
      </c>
      <c r="Q142" s="31"/>
      <c r="S142" s="293" t="s">
        <v>75</v>
      </c>
      <c r="T142" s="294">
        <f>X88</f>
        <v>6.0842400501410392</v>
      </c>
      <c r="U142" s="295" t="s">
        <v>71</v>
      </c>
      <c r="V142" s="29">
        <f>V141/5</f>
        <v>1.2247566593544357</v>
      </c>
      <c r="AD142" s="33"/>
    </row>
    <row r="143" spans="2:30" x14ac:dyDescent="0.25">
      <c r="B143" s="31"/>
      <c r="D143" s="65" t="s">
        <v>76</v>
      </c>
      <c r="E143" s="63">
        <f>I112</f>
        <v>1.4230506759623736</v>
      </c>
      <c r="F143" s="66" t="s">
        <v>71</v>
      </c>
      <c r="Q143" s="31"/>
      <c r="S143" s="293" t="s">
        <v>76</v>
      </c>
      <c r="T143" s="294">
        <f>X112</f>
        <v>3.4407897210905665</v>
      </c>
      <c r="U143" s="295" t="s">
        <v>71</v>
      </c>
      <c r="AD143" s="33"/>
    </row>
    <row r="144" spans="2:30" x14ac:dyDescent="0.25">
      <c r="B144" s="31"/>
      <c r="D144" s="65" t="s">
        <v>77</v>
      </c>
      <c r="E144" s="63">
        <f>E142-E143</f>
        <v>1.2643695043377789</v>
      </c>
      <c r="F144" s="66" t="s">
        <v>71</v>
      </c>
      <c r="I144" s="70" t="s">
        <v>77</v>
      </c>
      <c r="J144" s="69" t="s">
        <v>82</v>
      </c>
      <c r="Q144" s="31"/>
      <c r="S144" s="293" t="s">
        <v>77</v>
      </c>
      <c r="T144" s="294">
        <f>T142-T143</f>
        <v>2.6434503290504727</v>
      </c>
      <c r="U144" s="295" t="s">
        <v>71</v>
      </c>
      <c r="X144" s="70" t="s">
        <v>77</v>
      </c>
      <c r="Y144" s="69" t="s">
        <v>82</v>
      </c>
      <c r="AD144" s="33"/>
    </row>
    <row r="145" spans="2:30" x14ac:dyDescent="0.25">
      <c r="B145" s="31"/>
      <c r="D145" s="65" t="s">
        <v>85</v>
      </c>
      <c r="E145" s="63">
        <v>10.6</v>
      </c>
      <c r="F145" s="66" t="s">
        <v>86</v>
      </c>
      <c r="I145" s="70"/>
      <c r="J145" s="69"/>
      <c r="Q145" s="31"/>
      <c r="S145" s="293" t="s">
        <v>172</v>
      </c>
      <c r="T145" s="296">
        <f>4.1337*2</f>
        <v>8.2674000000000003</v>
      </c>
      <c r="U145" s="295" t="s">
        <v>71</v>
      </c>
      <c r="X145" s="70"/>
      <c r="Y145" s="69"/>
      <c r="AD145" s="33"/>
    </row>
    <row r="146" spans="2:30" x14ac:dyDescent="0.25">
      <c r="B146" s="31"/>
      <c r="D146" s="509" t="s">
        <v>83</v>
      </c>
      <c r="E146" s="511">
        <f>J151</f>
        <v>0.57599999999999996</v>
      </c>
      <c r="F146" s="512"/>
      <c r="I146" s="29" t="s">
        <v>88</v>
      </c>
      <c r="J146" s="69" t="s">
        <v>84</v>
      </c>
      <c r="Q146" s="31"/>
      <c r="S146" s="293" t="s">
        <v>85</v>
      </c>
      <c r="T146" s="294">
        <v>10.6</v>
      </c>
      <c r="U146" s="295" t="s">
        <v>86</v>
      </c>
      <c r="X146" s="70"/>
      <c r="Y146" s="69"/>
      <c r="AD146" s="33"/>
    </row>
    <row r="147" spans="2:30" x14ac:dyDescent="0.25">
      <c r="B147" s="31"/>
      <c r="D147" s="510"/>
      <c r="E147" s="513"/>
      <c r="F147" s="514"/>
      <c r="I147" s="29" t="s">
        <v>89</v>
      </c>
      <c r="J147" s="69"/>
      <c r="Q147" s="31"/>
      <c r="S147" s="502" t="s">
        <v>83</v>
      </c>
      <c r="T147" s="503">
        <f>Y152</f>
        <v>0.45400000000000001</v>
      </c>
      <c r="U147" s="505"/>
      <c r="X147" s="29" t="s">
        <v>88</v>
      </c>
      <c r="Y147" s="69" t="s">
        <v>84</v>
      </c>
      <c r="AD147" s="33"/>
    </row>
    <row r="148" spans="2:30" x14ac:dyDescent="0.25">
      <c r="B148" s="31"/>
      <c r="D148" s="65" t="s">
        <v>87</v>
      </c>
      <c r="E148" s="96">
        <f>'Resistance (maxsurf)'!C50</f>
        <v>0.33400000000000002</v>
      </c>
      <c r="F148" s="66"/>
      <c r="I148" s="29" t="s">
        <v>94</v>
      </c>
      <c r="J148" s="69" t="s">
        <v>90</v>
      </c>
      <c r="Q148" s="31"/>
      <c r="S148" s="502"/>
      <c r="T148" s="504"/>
      <c r="U148" s="506"/>
      <c r="X148" s="29" t="s">
        <v>89</v>
      </c>
      <c r="Y148" s="69"/>
      <c r="AD148" s="33"/>
    </row>
    <row r="149" spans="2:30" x14ac:dyDescent="0.25">
      <c r="B149" s="31"/>
      <c r="D149" s="65" t="s">
        <v>91</v>
      </c>
      <c r="E149" s="63">
        <f>Sheet1!E37</f>
        <v>85</v>
      </c>
      <c r="F149" s="66" t="s">
        <v>92</v>
      </c>
      <c r="Q149" s="31"/>
      <c r="S149" s="293" t="s">
        <v>87</v>
      </c>
      <c r="T149" s="297">
        <f>'Resistance (maxsurf)'!H50</f>
        <v>0.35799999999999998</v>
      </c>
      <c r="U149" s="295"/>
      <c r="X149" s="29" t="s">
        <v>94</v>
      </c>
      <c r="Y149" s="69" t="s">
        <v>90</v>
      </c>
      <c r="AD149" s="33"/>
    </row>
    <row r="150" spans="2:30" ht="15.75" thickBot="1" x14ac:dyDescent="0.3">
      <c r="B150" s="31"/>
      <c r="D150" s="67" t="s">
        <v>93</v>
      </c>
      <c r="E150" s="107">
        <f>J153</f>
        <v>168</v>
      </c>
      <c r="F150" s="68" t="s">
        <v>92</v>
      </c>
      <c r="I150" s="71" t="s">
        <v>95</v>
      </c>
      <c r="J150" s="69" t="s">
        <v>96</v>
      </c>
      <c r="Q150" s="31"/>
      <c r="S150" s="293" t="s">
        <v>91</v>
      </c>
      <c r="T150" s="294">
        <f>Sheet1!E37</f>
        <v>85</v>
      </c>
      <c r="U150" s="295" t="s">
        <v>92</v>
      </c>
      <c r="AD150" s="33"/>
    </row>
    <row r="151" spans="2:30" ht="15.75" thickBot="1" x14ac:dyDescent="0.3">
      <c r="B151" s="31"/>
      <c r="I151" s="29" t="s">
        <v>101</v>
      </c>
      <c r="J151" s="29">
        <f>'Hydrostatics (Maxsurf)'!C17</f>
        <v>0.57599999999999996</v>
      </c>
      <c r="K151" s="29" t="s">
        <v>149</v>
      </c>
      <c r="Q151" s="31"/>
      <c r="S151" s="298" t="s">
        <v>93</v>
      </c>
      <c r="T151" s="299">
        <f>Y154</f>
        <v>168</v>
      </c>
      <c r="U151" s="300" t="s">
        <v>92</v>
      </c>
      <c r="X151" s="71" t="s">
        <v>95</v>
      </c>
      <c r="Y151" s="69" t="s">
        <v>96</v>
      </c>
      <c r="AD151" s="33"/>
    </row>
    <row r="152" spans="2:30" ht="15.75" thickBot="1" x14ac:dyDescent="0.3">
      <c r="B152" s="31"/>
      <c r="E152" s="318">
        <f>E138/10</f>
        <v>2.6666949258758788</v>
      </c>
      <c r="Q152" s="31"/>
      <c r="S152" s="301" t="s">
        <v>173</v>
      </c>
      <c r="T152" s="302">
        <f>(T141-T145)/2</f>
        <v>1.9900832967721778</v>
      </c>
      <c r="U152" s="301" t="s">
        <v>71</v>
      </c>
      <c r="X152" s="29" t="s">
        <v>101</v>
      </c>
      <c r="Y152" s="29">
        <f>'Hydrostatics (Maxsurf)'!D17</f>
        <v>0.45400000000000001</v>
      </c>
      <c r="Z152" s="29" t="s">
        <v>149</v>
      </c>
      <c r="AD152" s="33"/>
    </row>
    <row r="153" spans="2:30" ht="16.5" thickBot="1" x14ac:dyDescent="0.3">
      <c r="B153" s="31"/>
      <c r="E153" s="318">
        <f>E143/10</f>
        <v>0.14230506759623734</v>
      </c>
      <c r="I153" s="73" t="s">
        <v>98</v>
      </c>
      <c r="J153" s="29">
        <f>'Hydrostatics (Maxsurf)'!C7</f>
        <v>168</v>
      </c>
      <c r="K153" s="29" t="s">
        <v>149</v>
      </c>
      <c r="Q153" s="31"/>
      <c r="S153" s="301"/>
      <c r="T153" s="302"/>
      <c r="U153" s="301"/>
      <c r="AD153" s="33"/>
    </row>
    <row r="154" spans="2:30" ht="16.5" thickBot="1" x14ac:dyDescent="0.3">
      <c r="B154" s="37"/>
      <c r="C154" s="38"/>
      <c r="D154" s="38"/>
      <c r="E154" s="38">
        <f>E141/2</f>
        <v>3.7846931568193574</v>
      </c>
      <c r="F154" s="38"/>
      <c r="G154" s="38"/>
      <c r="H154" s="38"/>
      <c r="I154" s="38"/>
      <c r="J154" s="38"/>
      <c r="K154" s="38"/>
      <c r="L154" s="38"/>
      <c r="M154" s="38"/>
      <c r="N154" s="38"/>
      <c r="O154" s="39"/>
      <c r="Q154" s="37"/>
      <c r="R154" s="38"/>
      <c r="S154" s="38"/>
      <c r="T154" s="38"/>
      <c r="U154" s="38"/>
      <c r="V154" s="38"/>
      <c r="W154" s="38"/>
      <c r="X154" s="73" t="s">
        <v>98</v>
      </c>
      <c r="Y154" s="29">
        <f>'Hydrostatics (Maxsurf)'!D7</f>
        <v>168</v>
      </c>
      <c r="Z154" s="29" t="s">
        <v>149</v>
      </c>
      <c r="AA154" s="38"/>
      <c r="AB154" s="38"/>
      <c r="AC154" s="38"/>
      <c r="AD154" s="39"/>
    </row>
    <row r="155" spans="2:30" x14ac:dyDescent="0.25">
      <c r="E155" s="319">
        <f>E154/5</f>
        <v>0.75693863136387152</v>
      </c>
    </row>
    <row r="157" spans="2:30" x14ac:dyDescent="0.25">
      <c r="D157" s="29" t="s">
        <v>174</v>
      </c>
      <c r="E157" s="108"/>
    </row>
    <row r="159" spans="2:30" x14ac:dyDescent="0.25">
      <c r="E159" s="72">
        <f>E140/5</f>
        <v>5.6307263359869175</v>
      </c>
      <c r="T159" s="72">
        <f>T140/5</f>
        <v>4.9339836050610923</v>
      </c>
    </row>
    <row r="160" spans="2:30" x14ac:dyDescent="0.25">
      <c r="E160" s="72">
        <f>E159*2</f>
        <v>11.261452671973835</v>
      </c>
      <c r="T160" s="72">
        <f>T159*2</f>
        <v>9.8679672101221847</v>
      </c>
    </row>
    <row r="161" spans="5:22" x14ac:dyDescent="0.25">
      <c r="E161" s="72">
        <f>E160+E159</f>
        <v>16.892179007960753</v>
      </c>
      <c r="T161" s="72">
        <f>T160+T159</f>
        <v>14.801950815183277</v>
      </c>
    </row>
    <row r="162" spans="5:22" x14ac:dyDescent="0.25">
      <c r="E162" s="72">
        <f>E161+E159</f>
        <v>22.52290534394767</v>
      </c>
      <c r="T162" s="72">
        <f>T161+T159</f>
        <v>19.735934420244369</v>
      </c>
    </row>
    <row r="163" spans="5:22" x14ac:dyDescent="0.25">
      <c r="E163" s="72">
        <f>E162+E159</f>
        <v>28.153631679934588</v>
      </c>
      <c r="T163" s="72">
        <f>T162+T159</f>
        <v>24.669918025305464</v>
      </c>
    </row>
    <row r="165" spans="5:22" x14ac:dyDescent="0.25">
      <c r="E165" s="29">
        <f>E141/2</f>
        <v>3.7846931568193574</v>
      </c>
      <c r="T165" s="29">
        <f>T152/2</f>
        <v>0.99504164838608888</v>
      </c>
      <c r="U165" s="29">
        <f>(T141/2)</f>
        <v>6.1237832967721779</v>
      </c>
      <c r="V165" s="29">
        <f>U165-T165</f>
        <v>5.1287416483860895</v>
      </c>
    </row>
    <row r="167" spans="5:22" x14ac:dyDescent="0.25">
      <c r="E167" s="29">
        <f>E140/10</f>
        <v>2.8153631679934588</v>
      </c>
      <c r="T167" s="29">
        <f>T140/10</f>
        <v>2.4669918025305462</v>
      </c>
    </row>
    <row r="168" spans="5:22" x14ac:dyDescent="0.25">
      <c r="E168" s="29">
        <f>E143/10</f>
        <v>0.14230506759623734</v>
      </c>
      <c r="T168" s="29">
        <f>T143/10</f>
        <v>0.34407897210905664</v>
      </c>
    </row>
  </sheetData>
  <mergeCells count="25">
    <mergeCell ref="C18:D18"/>
    <mergeCell ref="T137:U137"/>
    <mergeCell ref="S147:S148"/>
    <mergeCell ref="T147:T148"/>
    <mergeCell ref="U147:U148"/>
    <mergeCell ref="B134:O134"/>
    <mergeCell ref="E137:F137"/>
    <mergeCell ref="D146:D147"/>
    <mergeCell ref="E146:F147"/>
    <mergeCell ref="B2:L2"/>
    <mergeCell ref="B3:L3"/>
    <mergeCell ref="B114:L114"/>
    <mergeCell ref="Q134:AD134"/>
    <mergeCell ref="Q114:AA114"/>
    <mergeCell ref="Q2:AA2"/>
    <mergeCell ref="Q3:AA3"/>
    <mergeCell ref="Q17:AA17"/>
    <mergeCell ref="R18:S18"/>
    <mergeCell ref="R42:S42"/>
    <mergeCell ref="R66:S66"/>
    <mergeCell ref="R90:S90"/>
    <mergeCell ref="C42:D42"/>
    <mergeCell ref="C66:D66"/>
    <mergeCell ref="C90:D90"/>
    <mergeCell ref="B17:L1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5CFF0-E33B-4011-8068-4262522F9797}">
  <sheetPr>
    <tabColor rgb="FF00B050"/>
  </sheetPr>
  <dimension ref="A1:E38"/>
  <sheetViews>
    <sheetView zoomScale="56" zoomScaleNormal="55" workbookViewId="0">
      <selection activeCell="C7" sqref="C7"/>
    </sheetView>
  </sheetViews>
  <sheetFormatPr defaultColWidth="8.85546875" defaultRowHeight="15" x14ac:dyDescent="0.25"/>
  <cols>
    <col min="1" max="1" width="8.85546875" style="110"/>
    <col min="2" max="2" width="24.85546875" style="110" bestFit="1" customWidth="1"/>
    <col min="3" max="3" width="11" style="142" customWidth="1"/>
    <col min="4" max="4" width="11" style="110" customWidth="1"/>
    <col min="5" max="5" width="25.140625" style="110" bestFit="1" customWidth="1"/>
    <col min="6" max="16384" width="8.85546875" style="110"/>
  </cols>
  <sheetData>
    <row r="1" spans="1:5" ht="15.75" thickBot="1" x14ac:dyDescent="0.3"/>
    <row r="2" spans="1:5" ht="16.5" thickBot="1" x14ac:dyDescent="0.3">
      <c r="B2" s="515" t="s">
        <v>105</v>
      </c>
      <c r="C2" s="516"/>
      <c r="D2" s="516"/>
      <c r="E2" s="517"/>
    </row>
    <row r="3" spans="1:5" x14ac:dyDescent="0.25">
      <c r="B3" s="111" t="s">
        <v>151</v>
      </c>
      <c r="C3" s="518" t="s">
        <v>106</v>
      </c>
      <c r="D3" s="518"/>
      <c r="E3" s="519"/>
    </row>
    <row r="4" spans="1:5" ht="15.75" thickBot="1" x14ac:dyDescent="0.3">
      <c r="B4" s="114" t="s">
        <v>107</v>
      </c>
      <c r="C4" s="520" t="s">
        <v>150</v>
      </c>
      <c r="D4" s="520"/>
      <c r="E4" s="521"/>
    </row>
    <row r="5" spans="1:5" x14ac:dyDescent="0.25">
      <c r="B5" s="522" t="s">
        <v>153</v>
      </c>
      <c r="C5" s="526" t="s">
        <v>154</v>
      </c>
      <c r="D5" s="526"/>
      <c r="E5" s="524" t="s">
        <v>108</v>
      </c>
    </row>
    <row r="6" spans="1:5" ht="15.75" thickBot="1" x14ac:dyDescent="0.3">
      <c r="B6" s="523"/>
      <c r="C6" s="279" t="s">
        <v>155</v>
      </c>
      <c r="D6" s="279" t="s">
        <v>156</v>
      </c>
      <c r="E6" s="525"/>
    </row>
    <row r="7" spans="1:5" x14ac:dyDescent="0.25">
      <c r="A7" s="110">
        <v>1</v>
      </c>
      <c r="B7" s="280" t="s">
        <v>93</v>
      </c>
      <c r="C7" s="281">
        <v>168</v>
      </c>
      <c r="D7" s="282">
        <v>168</v>
      </c>
      <c r="E7" s="283" t="s">
        <v>109</v>
      </c>
    </row>
    <row r="8" spans="1:5" x14ac:dyDescent="0.25">
      <c r="A8" s="110">
        <v>2</v>
      </c>
      <c r="B8" s="284" t="s">
        <v>110</v>
      </c>
      <c r="C8" s="285">
        <v>168.02600000000001</v>
      </c>
      <c r="D8" s="286">
        <v>168.01499999999999</v>
      </c>
      <c r="E8" s="287" t="s">
        <v>111</v>
      </c>
    </row>
    <row r="9" spans="1:5" x14ac:dyDescent="0.25">
      <c r="A9" s="110">
        <v>3</v>
      </c>
      <c r="B9" s="284" t="s">
        <v>112</v>
      </c>
      <c r="C9" s="285">
        <v>1.42</v>
      </c>
      <c r="D9" s="286">
        <v>3.44</v>
      </c>
      <c r="E9" s="287" t="s">
        <v>71</v>
      </c>
    </row>
    <row r="10" spans="1:5" x14ac:dyDescent="0.25">
      <c r="A10" s="110">
        <v>4</v>
      </c>
      <c r="B10" s="284" t="s">
        <v>113</v>
      </c>
      <c r="C10" s="285">
        <v>1.42</v>
      </c>
      <c r="D10" s="286">
        <v>3.4390000000000001</v>
      </c>
      <c r="E10" s="287" t="s">
        <v>71</v>
      </c>
    </row>
    <row r="11" spans="1:5" x14ac:dyDescent="0.25">
      <c r="A11" s="110">
        <v>5</v>
      </c>
      <c r="B11" s="284" t="s">
        <v>114</v>
      </c>
      <c r="C11" s="285">
        <v>27.143999999999998</v>
      </c>
      <c r="D11" s="286">
        <v>23.675000000000001</v>
      </c>
      <c r="E11" s="287" t="s">
        <v>71</v>
      </c>
    </row>
    <row r="12" spans="1:5" x14ac:dyDescent="0.25">
      <c r="A12" s="110">
        <v>6</v>
      </c>
      <c r="B12" s="284" t="s">
        <v>115</v>
      </c>
      <c r="C12" s="285">
        <v>7.57</v>
      </c>
      <c r="D12" s="286">
        <v>11.577</v>
      </c>
      <c r="E12" s="287" t="s">
        <v>71</v>
      </c>
    </row>
    <row r="13" spans="1:5" x14ac:dyDescent="0.25">
      <c r="A13" s="110">
        <v>7</v>
      </c>
      <c r="B13" s="284" t="s">
        <v>116</v>
      </c>
      <c r="C13" s="285">
        <v>202.99100000000001</v>
      </c>
      <c r="D13" s="286">
        <v>309.94499999999999</v>
      </c>
      <c r="E13" s="287" t="s">
        <v>117</v>
      </c>
    </row>
    <row r="14" spans="1:5" x14ac:dyDescent="0.25">
      <c r="A14" s="110">
        <v>8</v>
      </c>
      <c r="B14" s="284" t="s">
        <v>118</v>
      </c>
      <c r="C14" s="285">
        <v>8.3490000000000002</v>
      </c>
      <c r="D14" s="286">
        <v>10.46</v>
      </c>
      <c r="E14" s="287" t="s">
        <v>117</v>
      </c>
    </row>
    <row r="15" spans="1:5" x14ac:dyDescent="0.25">
      <c r="A15" s="110">
        <v>9</v>
      </c>
      <c r="B15" s="284" t="s">
        <v>119</v>
      </c>
      <c r="C15" s="285">
        <v>169.96899999999999</v>
      </c>
      <c r="D15" s="286">
        <v>80.89</v>
      </c>
      <c r="E15" s="287" t="s">
        <v>117</v>
      </c>
    </row>
    <row r="16" spans="1:5" x14ac:dyDescent="0.25">
      <c r="A16" s="110">
        <v>10</v>
      </c>
      <c r="B16" s="284" t="s">
        <v>120</v>
      </c>
      <c r="C16" s="285">
        <v>0.74099999999999999</v>
      </c>
      <c r="D16" s="286">
        <v>0.67800000000000005</v>
      </c>
      <c r="E16" s="287"/>
    </row>
    <row r="17" spans="1:5" x14ac:dyDescent="0.25">
      <c r="A17" s="110">
        <v>11</v>
      </c>
      <c r="B17" s="284" t="s">
        <v>121</v>
      </c>
      <c r="C17" s="285">
        <v>0.57599999999999996</v>
      </c>
      <c r="D17" s="286">
        <v>0.45400000000000001</v>
      </c>
      <c r="E17" s="287"/>
    </row>
    <row r="18" spans="1:5" x14ac:dyDescent="0.25">
      <c r="A18" s="110">
        <v>12</v>
      </c>
      <c r="B18" s="284" t="s">
        <v>122</v>
      </c>
      <c r="C18" s="285">
        <v>0.77900000000000003</v>
      </c>
      <c r="D18" s="286">
        <v>0.67900000000000005</v>
      </c>
      <c r="E18" s="287"/>
    </row>
    <row r="19" spans="1:5" x14ac:dyDescent="0.25">
      <c r="A19" s="110">
        <v>13</v>
      </c>
      <c r="B19" s="284" t="s">
        <v>123</v>
      </c>
      <c r="C19" s="285">
        <v>0.82699999999999996</v>
      </c>
      <c r="D19" s="286">
        <v>0.751</v>
      </c>
      <c r="E19" s="287"/>
    </row>
    <row r="20" spans="1:5" x14ac:dyDescent="0.25">
      <c r="A20" s="110">
        <v>14</v>
      </c>
      <c r="B20" s="284" t="s">
        <v>124</v>
      </c>
      <c r="C20" s="285">
        <v>11.632999999999999</v>
      </c>
      <c r="D20" s="286">
        <v>9.2739999999999991</v>
      </c>
      <c r="E20" s="287" t="s">
        <v>125</v>
      </c>
    </row>
    <row r="21" spans="1:5" x14ac:dyDescent="0.25">
      <c r="A21" s="110">
        <v>15</v>
      </c>
      <c r="B21" s="284" t="s">
        <v>126</v>
      </c>
      <c r="C21" s="285">
        <v>11.526999999999999</v>
      </c>
      <c r="D21" s="286">
        <v>9.4290000000000003</v>
      </c>
      <c r="E21" s="287" t="s">
        <v>125</v>
      </c>
    </row>
    <row r="22" spans="1:5" x14ac:dyDescent="0.25">
      <c r="A22" s="110">
        <v>16</v>
      </c>
      <c r="B22" s="284" t="s">
        <v>127</v>
      </c>
      <c r="C22" s="285">
        <v>42.856000000000002</v>
      </c>
      <c r="D22" s="286">
        <v>39.173999999999999</v>
      </c>
      <c r="E22" s="287" t="s">
        <v>128</v>
      </c>
    </row>
    <row r="23" spans="1:5" x14ac:dyDescent="0.25">
      <c r="A23" s="110">
        <v>17</v>
      </c>
      <c r="B23" s="284" t="s">
        <v>129</v>
      </c>
      <c r="C23" s="285">
        <v>42.465000000000003</v>
      </c>
      <c r="D23" s="286">
        <v>39.826999999999998</v>
      </c>
      <c r="E23" s="287" t="s">
        <v>128</v>
      </c>
    </row>
    <row r="24" spans="1:5" x14ac:dyDescent="0.25">
      <c r="A24" s="110">
        <v>18</v>
      </c>
      <c r="B24" s="284" t="s">
        <v>130</v>
      </c>
      <c r="C24" s="285">
        <v>0.871</v>
      </c>
      <c r="D24" s="286">
        <v>2.1840000000000002</v>
      </c>
      <c r="E24" s="287" t="s">
        <v>71</v>
      </c>
    </row>
    <row r="25" spans="1:5" x14ac:dyDescent="0.25">
      <c r="A25" s="110">
        <v>19</v>
      </c>
      <c r="B25" s="284" t="s">
        <v>131</v>
      </c>
      <c r="C25" s="285">
        <v>0</v>
      </c>
      <c r="D25" s="286">
        <v>0</v>
      </c>
      <c r="E25" s="287" t="s">
        <v>71</v>
      </c>
    </row>
    <row r="26" spans="1:5" x14ac:dyDescent="0.25">
      <c r="A26" s="110">
        <v>20</v>
      </c>
      <c r="B26" s="284" t="s">
        <v>132</v>
      </c>
      <c r="C26" s="285">
        <v>4.1399999999999997</v>
      </c>
      <c r="D26" s="286">
        <v>10.521000000000001</v>
      </c>
      <c r="E26" s="287" t="s">
        <v>71</v>
      </c>
    </row>
    <row r="27" spans="1:5" x14ac:dyDescent="0.25">
      <c r="A27" s="110">
        <v>21</v>
      </c>
      <c r="B27" s="284" t="s">
        <v>133</v>
      </c>
      <c r="C27" s="285">
        <v>48.423999999999999</v>
      </c>
      <c r="D27" s="286">
        <v>16.312999999999999</v>
      </c>
      <c r="E27" s="287" t="s">
        <v>71</v>
      </c>
    </row>
    <row r="28" spans="1:5" x14ac:dyDescent="0.25">
      <c r="A28" s="110">
        <v>22</v>
      </c>
      <c r="B28" s="284" t="s">
        <v>134</v>
      </c>
      <c r="C28" s="285">
        <v>5.0110000000000001</v>
      </c>
      <c r="D28" s="286">
        <v>12.705</v>
      </c>
      <c r="E28" s="287" t="s">
        <v>71</v>
      </c>
    </row>
    <row r="29" spans="1:5" x14ac:dyDescent="0.25">
      <c r="A29" s="110">
        <v>23</v>
      </c>
      <c r="B29" s="284" t="s">
        <v>135</v>
      </c>
      <c r="C29" s="285">
        <v>49.295000000000002</v>
      </c>
      <c r="D29" s="286">
        <v>18.498000000000001</v>
      </c>
      <c r="E29" s="287" t="s">
        <v>71</v>
      </c>
    </row>
    <row r="30" spans="1:5" x14ac:dyDescent="0.25">
      <c r="A30" s="110">
        <v>24</v>
      </c>
      <c r="B30" s="284" t="s">
        <v>136</v>
      </c>
      <c r="C30" s="285">
        <v>5.0110000000000001</v>
      </c>
      <c r="D30" s="286">
        <v>12.705</v>
      </c>
      <c r="E30" s="287" t="s">
        <v>71</v>
      </c>
    </row>
    <row r="31" spans="1:5" x14ac:dyDescent="0.25">
      <c r="A31" s="110">
        <v>25</v>
      </c>
      <c r="B31" s="284" t="s">
        <v>137</v>
      </c>
      <c r="C31" s="285">
        <v>49.295000000000002</v>
      </c>
      <c r="D31" s="286">
        <v>18.498000000000001</v>
      </c>
      <c r="E31" s="287" t="s">
        <v>71</v>
      </c>
    </row>
    <row r="32" spans="1:5" x14ac:dyDescent="0.25">
      <c r="A32" s="110">
        <v>26</v>
      </c>
      <c r="B32" s="284" t="s">
        <v>138</v>
      </c>
      <c r="C32" s="285">
        <v>1.7</v>
      </c>
      <c r="D32" s="286">
        <v>0.80900000000000005</v>
      </c>
      <c r="E32" s="287" t="s">
        <v>139</v>
      </c>
    </row>
    <row r="33" spans="1:5" x14ac:dyDescent="0.25">
      <c r="A33" s="110">
        <v>27</v>
      </c>
      <c r="B33" s="284" t="s">
        <v>140</v>
      </c>
      <c r="C33" s="285">
        <v>3.1059999999999999</v>
      </c>
      <c r="D33" s="286">
        <v>1.33</v>
      </c>
      <c r="E33" s="287" t="s">
        <v>141</v>
      </c>
    </row>
    <row r="34" spans="1:5" x14ac:dyDescent="0.25">
      <c r="A34" s="110">
        <v>28</v>
      </c>
      <c r="B34" s="284" t="s">
        <v>142</v>
      </c>
      <c r="C34" s="285">
        <v>14.694000000000001</v>
      </c>
      <c r="D34" s="286">
        <v>37.256</v>
      </c>
      <c r="E34" s="287" t="s">
        <v>141</v>
      </c>
    </row>
    <row r="35" spans="1:5" x14ac:dyDescent="0.25">
      <c r="A35" s="110">
        <v>29</v>
      </c>
      <c r="B35" s="284" t="s">
        <v>143</v>
      </c>
      <c r="C35" s="285">
        <v>3.5859999999999999</v>
      </c>
      <c r="D35" s="286">
        <v>5.2069999999999999</v>
      </c>
      <c r="E35" s="287"/>
    </row>
    <row r="36" spans="1:5" x14ac:dyDescent="0.25">
      <c r="A36" s="110">
        <v>30</v>
      </c>
      <c r="B36" s="284" t="s">
        <v>144</v>
      </c>
      <c r="C36" s="285">
        <v>5.3310000000000004</v>
      </c>
      <c r="D36" s="286">
        <v>1.3220000000000001</v>
      </c>
      <c r="E36" s="287"/>
    </row>
    <row r="37" spans="1:5" x14ac:dyDescent="0.25">
      <c r="A37" s="110">
        <v>31</v>
      </c>
      <c r="B37" s="284" t="s">
        <v>145</v>
      </c>
      <c r="C37" s="285">
        <v>4.9189999999999996</v>
      </c>
      <c r="D37" s="286">
        <v>4.29</v>
      </c>
      <c r="E37" s="287"/>
    </row>
    <row r="38" spans="1:5" ht="15.75" thickBot="1" x14ac:dyDescent="0.3">
      <c r="A38" s="110">
        <v>32</v>
      </c>
      <c r="B38" s="288" t="s">
        <v>146</v>
      </c>
      <c r="C38" s="289" t="s">
        <v>147</v>
      </c>
      <c r="D38" s="290" t="s">
        <v>147</v>
      </c>
      <c r="E38" s="291" t="s">
        <v>148</v>
      </c>
    </row>
  </sheetData>
  <mergeCells count="6">
    <mergeCell ref="B2:E2"/>
    <mergeCell ref="C3:E3"/>
    <mergeCell ref="C4:E4"/>
    <mergeCell ref="B5:B6"/>
    <mergeCell ref="E5:E6"/>
    <mergeCell ref="C5:D5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B3D35-13BA-42DD-A0C9-C2BBAED5683B}">
  <sheetPr>
    <tabColor rgb="FF00B050"/>
  </sheetPr>
  <dimension ref="A1:AP195"/>
  <sheetViews>
    <sheetView topLeftCell="A13" zoomScale="70" zoomScaleNormal="70" workbookViewId="0">
      <selection activeCell="D139" sqref="D139"/>
    </sheetView>
  </sheetViews>
  <sheetFormatPr defaultRowHeight="15" x14ac:dyDescent="0.25"/>
  <cols>
    <col min="2" max="4" width="11.140625" customWidth="1"/>
    <col min="5" max="5" width="16.28515625" customWidth="1"/>
    <col min="6" max="7" width="11.140625" customWidth="1"/>
    <col min="8" max="8" width="11.140625" style="110" customWidth="1"/>
    <col min="9" max="9" width="13" style="110" customWidth="1"/>
    <col min="10" max="10" width="11.140625" style="110" customWidth="1"/>
  </cols>
  <sheetData>
    <row r="1" spans="1:42" ht="15.75" thickBot="1" x14ac:dyDescent="0.3"/>
    <row r="2" spans="1:42" ht="19.5" thickBot="1" x14ac:dyDescent="0.35">
      <c r="B2" s="562" t="s">
        <v>157</v>
      </c>
      <c r="C2" s="563"/>
      <c r="D2" s="563"/>
      <c r="E2" s="563"/>
      <c r="F2" s="563"/>
      <c r="G2" s="563"/>
      <c r="H2" s="563"/>
      <c r="I2" s="563"/>
      <c r="J2" s="564"/>
      <c r="L2" s="543" t="s">
        <v>152</v>
      </c>
      <c r="M2" s="543"/>
      <c r="N2" s="543"/>
      <c r="O2" s="543"/>
      <c r="P2" s="543"/>
      <c r="Q2" s="543"/>
      <c r="R2" s="543"/>
      <c r="S2" s="543"/>
      <c r="T2" s="543"/>
      <c r="U2" s="543"/>
      <c r="V2" s="543"/>
      <c r="W2" s="543"/>
      <c r="X2" s="543"/>
      <c r="Y2" s="543"/>
      <c r="Z2" s="543"/>
      <c r="AB2" s="543" t="s">
        <v>171</v>
      </c>
      <c r="AC2" s="543"/>
      <c r="AD2" s="543"/>
      <c r="AE2" s="543"/>
      <c r="AF2" s="543"/>
      <c r="AG2" s="543"/>
      <c r="AH2" s="543"/>
      <c r="AI2" s="543"/>
      <c r="AJ2" s="543"/>
      <c r="AK2" s="543"/>
      <c r="AL2" s="543"/>
      <c r="AM2" s="543"/>
      <c r="AN2" s="543"/>
      <c r="AO2" s="543"/>
      <c r="AP2" s="543"/>
    </row>
    <row r="3" spans="1:42" x14ac:dyDescent="0.25">
      <c r="B3" s="83" t="s">
        <v>168</v>
      </c>
      <c r="C3" s="560" t="s">
        <v>158</v>
      </c>
      <c r="D3" s="560"/>
      <c r="E3" s="560"/>
      <c r="F3" s="84"/>
      <c r="G3" s="84"/>
      <c r="J3" s="115"/>
    </row>
    <row r="4" spans="1:42" x14ac:dyDescent="0.25">
      <c r="B4" s="83" t="s">
        <v>167</v>
      </c>
      <c r="C4" s="561">
        <f>'Ukuran Utama Kapal'!E145</f>
        <v>10.6</v>
      </c>
      <c r="D4" s="560"/>
      <c r="E4" s="560"/>
      <c r="F4" s="84"/>
      <c r="G4" s="84"/>
      <c r="J4" s="115"/>
    </row>
    <row r="5" spans="1:42" ht="15.75" thickBot="1" x14ac:dyDescent="0.3">
      <c r="B5" s="83" t="s">
        <v>166</v>
      </c>
      <c r="C5" s="87">
        <v>0.75</v>
      </c>
      <c r="D5" s="84"/>
      <c r="E5" s="84"/>
      <c r="F5" s="84"/>
      <c r="G5" s="84"/>
      <c r="H5" s="131"/>
      <c r="I5" s="131"/>
      <c r="J5" s="133"/>
    </row>
    <row r="6" spans="1:42" ht="15.75" x14ac:dyDescent="0.25">
      <c r="B6" s="544" t="s">
        <v>162</v>
      </c>
      <c r="C6" s="547" t="s">
        <v>155</v>
      </c>
      <c r="D6" s="548"/>
      <c r="E6" s="548"/>
      <c r="F6" s="548"/>
      <c r="G6" s="549"/>
      <c r="H6" s="553" t="s">
        <v>156</v>
      </c>
      <c r="I6" s="554"/>
      <c r="J6" s="555"/>
    </row>
    <row r="7" spans="1:42" x14ac:dyDescent="0.25">
      <c r="B7" s="545"/>
      <c r="C7" s="95" t="s">
        <v>169</v>
      </c>
      <c r="D7" s="90">
        <v>1.468</v>
      </c>
      <c r="E7" s="88"/>
      <c r="F7" s="88"/>
      <c r="G7" s="89"/>
      <c r="H7" s="303" t="s">
        <v>169</v>
      </c>
      <c r="I7" s="303">
        <v>1.5429999999999999</v>
      </c>
      <c r="J7" s="304"/>
    </row>
    <row r="8" spans="1:42" ht="14.45" customHeight="1" x14ac:dyDescent="0.25">
      <c r="B8" s="545"/>
      <c r="C8" s="550" t="s">
        <v>159</v>
      </c>
      <c r="D8" s="550" t="s">
        <v>163</v>
      </c>
      <c r="E8" s="550"/>
      <c r="F8" s="550" t="s">
        <v>164</v>
      </c>
      <c r="G8" s="551"/>
      <c r="H8" s="556" t="s">
        <v>159</v>
      </c>
      <c r="I8" s="558" t="s">
        <v>164</v>
      </c>
      <c r="J8" s="559"/>
    </row>
    <row r="9" spans="1:42" ht="30.75" thickBot="1" x14ac:dyDescent="0.3">
      <c r="B9" s="546"/>
      <c r="C9" s="552"/>
      <c r="D9" s="85" t="s">
        <v>160</v>
      </c>
      <c r="E9" s="85" t="s">
        <v>161</v>
      </c>
      <c r="F9" s="85" t="s">
        <v>160</v>
      </c>
      <c r="G9" s="86" t="s">
        <v>161</v>
      </c>
      <c r="H9" s="557"/>
      <c r="I9" s="305" t="s">
        <v>160</v>
      </c>
      <c r="J9" s="306" t="s">
        <v>161</v>
      </c>
    </row>
    <row r="10" spans="1:42" x14ac:dyDescent="0.25">
      <c r="A10" s="94">
        <v>0</v>
      </c>
      <c r="B10" s="97">
        <v>0</v>
      </c>
      <c r="C10" s="98">
        <v>0</v>
      </c>
      <c r="D10" s="98" t="s">
        <v>165</v>
      </c>
      <c r="E10" s="98" t="s">
        <v>165</v>
      </c>
      <c r="F10" s="98" t="s">
        <v>165</v>
      </c>
      <c r="G10" s="99" t="s">
        <v>165</v>
      </c>
      <c r="H10" s="307">
        <v>0</v>
      </c>
      <c r="I10" s="308" t="s">
        <v>165</v>
      </c>
      <c r="J10" s="309" t="s">
        <v>165</v>
      </c>
    </row>
    <row r="11" spans="1:42" x14ac:dyDescent="0.25">
      <c r="A11">
        <v>1</v>
      </c>
      <c r="B11" s="100">
        <v>0.26500000000000001</v>
      </c>
      <c r="C11" s="101">
        <v>8.0000000000000002E-3</v>
      </c>
      <c r="D11" s="101">
        <v>0</v>
      </c>
      <c r="E11" s="101">
        <v>2E-3</v>
      </c>
      <c r="F11" s="101">
        <v>0</v>
      </c>
      <c r="G11" s="102">
        <v>2E-3</v>
      </c>
      <c r="H11" s="310">
        <v>8.9999999999999993E-3</v>
      </c>
      <c r="I11" s="311">
        <v>0</v>
      </c>
      <c r="J11" s="312">
        <v>3.0000000000000001E-3</v>
      </c>
    </row>
    <row r="12" spans="1:42" x14ac:dyDescent="0.25">
      <c r="A12">
        <v>2</v>
      </c>
      <c r="B12" s="100">
        <v>0.53</v>
      </c>
      <c r="C12" s="101">
        <v>1.7000000000000001E-2</v>
      </c>
      <c r="D12" s="101">
        <v>0</v>
      </c>
      <c r="E12" s="101">
        <v>1.4999999999999999E-2</v>
      </c>
      <c r="F12" s="101">
        <v>0</v>
      </c>
      <c r="G12" s="102">
        <v>1.4E-2</v>
      </c>
      <c r="H12" s="310">
        <v>1.7999999999999999E-2</v>
      </c>
      <c r="I12" s="311">
        <v>0.1</v>
      </c>
      <c r="J12" s="312">
        <v>2.1999999999999999E-2</v>
      </c>
    </row>
    <row r="13" spans="1:42" x14ac:dyDescent="0.25">
      <c r="A13">
        <v>3</v>
      </c>
      <c r="B13" s="100">
        <v>0.79500000000000004</v>
      </c>
      <c r="C13" s="101">
        <v>2.5000000000000001E-2</v>
      </c>
      <c r="D13" s="101">
        <v>0.1</v>
      </c>
      <c r="E13" s="101">
        <v>4.9000000000000002E-2</v>
      </c>
      <c r="F13" s="101">
        <v>0.1</v>
      </c>
      <c r="G13" s="102">
        <v>4.3999999999999997E-2</v>
      </c>
      <c r="H13" s="310">
        <v>2.7E-2</v>
      </c>
      <c r="I13" s="311">
        <v>0.1</v>
      </c>
      <c r="J13" s="312">
        <v>7.2999999999999995E-2</v>
      </c>
    </row>
    <row r="14" spans="1:42" x14ac:dyDescent="0.25">
      <c r="A14" s="94">
        <v>4</v>
      </c>
      <c r="B14" s="100">
        <v>1.06</v>
      </c>
      <c r="C14" s="101">
        <v>3.3000000000000002E-2</v>
      </c>
      <c r="D14" s="101">
        <v>0.2</v>
      </c>
      <c r="E14" s="101">
        <v>0.11</v>
      </c>
      <c r="F14" s="101">
        <v>0.1</v>
      </c>
      <c r="G14" s="102">
        <v>0.10299999999999999</v>
      </c>
      <c r="H14" s="310">
        <v>3.5999999999999997E-2</v>
      </c>
      <c r="I14" s="311">
        <v>0.2</v>
      </c>
      <c r="J14" s="312">
        <v>0.16900000000000001</v>
      </c>
    </row>
    <row r="15" spans="1:42" x14ac:dyDescent="0.25">
      <c r="A15">
        <v>5</v>
      </c>
      <c r="B15" s="100">
        <v>1.325</v>
      </c>
      <c r="C15" s="101">
        <v>4.2000000000000003E-2</v>
      </c>
      <c r="D15" s="101">
        <v>0.2</v>
      </c>
      <c r="E15" s="101">
        <v>0.20899999999999999</v>
      </c>
      <c r="F15" s="101">
        <v>0.2</v>
      </c>
      <c r="G15" s="102">
        <v>0.19800000000000001</v>
      </c>
      <c r="H15" s="310">
        <v>4.4999999999999998E-2</v>
      </c>
      <c r="I15" s="311">
        <v>0.4</v>
      </c>
      <c r="J15" s="312">
        <v>0.32400000000000001</v>
      </c>
    </row>
    <row r="16" spans="1:42" x14ac:dyDescent="0.25">
      <c r="A16">
        <v>6</v>
      </c>
      <c r="B16" s="100">
        <v>1.59</v>
      </c>
      <c r="C16" s="101">
        <v>0.05</v>
      </c>
      <c r="D16" s="101">
        <v>0.3</v>
      </c>
      <c r="E16" s="101">
        <v>0.35099999999999998</v>
      </c>
      <c r="F16" s="101">
        <v>0.3</v>
      </c>
      <c r="G16" s="102">
        <v>0.33700000000000002</v>
      </c>
      <c r="H16" s="310">
        <v>5.3999999999999999E-2</v>
      </c>
      <c r="I16" s="311">
        <v>0.5</v>
      </c>
      <c r="J16" s="312">
        <v>0.55100000000000005</v>
      </c>
    </row>
    <row r="17" spans="1:10" x14ac:dyDescent="0.25">
      <c r="A17">
        <v>7</v>
      </c>
      <c r="B17" s="100">
        <v>1.855</v>
      </c>
      <c r="C17" s="101">
        <v>5.8000000000000003E-2</v>
      </c>
      <c r="D17" s="101">
        <v>0.4</v>
      </c>
      <c r="E17" s="101">
        <v>0.54500000000000004</v>
      </c>
      <c r="F17" s="101">
        <v>0.4</v>
      </c>
      <c r="G17" s="102">
        <v>0.52900000000000003</v>
      </c>
      <c r="H17" s="310">
        <v>6.3E-2</v>
      </c>
      <c r="I17" s="311">
        <v>0.7</v>
      </c>
      <c r="J17" s="312">
        <v>0.86399999999999999</v>
      </c>
    </row>
    <row r="18" spans="1:10" x14ac:dyDescent="0.25">
      <c r="A18" s="94">
        <v>8</v>
      </c>
      <c r="B18" s="100">
        <v>2.12</v>
      </c>
      <c r="C18" s="101">
        <v>6.7000000000000004E-2</v>
      </c>
      <c r="D18" s="101">
        <v>0.5</v>
      </c>
      <c r="E18" s="101">
        <v>0.79800000000000004</v>
      </c>
      <c r="F18" s="101">
        <v>0.5</v>
      </c>
      <c r="G18" s="102">
        <v>0.78100000000000003</v>
      </c>
      <c r="H18" s="310">
        <v>7.1999999999999995E-2</v>
      </c>
      <c r="I18" s="311">
        <v>0.9</v>
      </c>
      <c r="J18" s="312">
        <v>1.2749999999999999</v>
      </c>
    </row>
    <row r="19" spans="1:10" x14ac:dyDescent="0.25">
      <c r="A19">
        <v>9</v>
      </c>
      <c r="B19" s="100">
        <v>2.3849999999999998</v>
      </c>
      <c r="C19" s="101">
        <v>7.4999999999999997E-2</v>
      </c>
      <c r="D19" s="101">
        <v>0.7</v>
      </c>
      <c r="E19" s="101">
        <v>1.117</v>
      </c>
      <c r="F19" s="101">
        <v>0.7</v>
      </c>
      <c r="G19" s="102">
        <v>1.103</v>
      </c>
      <c r="H19" s="310">
        <v>8.1000000000000003E-2</v>
      </c>
      <c r="I19" s="311">
        <v>1.1000000000000001</v>
      </c>
      <c r="J19" s="312">
        <v>1.798</v>
      </c>
    </row>
    <row r="20" spans="1:10" x14ac:dyDescent="0.25">
      <c r="A20">
        <v>10</v>
      </c>
      <c r="B20" s="100">
        <v>2.65</v>
      </c>
      <c r="C20" s="101">
        <v>8.4000000000000005E-2</v>
      </c>
      <c r="D20" s="101">
        <v>0.8</v>
      </c>
      <c r="E20" s="101">
        <v>1.5089999999999999</v>
      </c>
      <c r="F20" s="101">
        <v>0.8</v>
      </c>
      <c r="G20" s="102">
        <v>1.512</v>
      </c>
      <c r="H20" s="310">
        <v>8.8999999999999996E-2</v>
      </c>
      <c r="I20" s="311">
        <v>1.3</v>
      </c>
      <c r="J20" s="312">
        <v>2.4460000000000002</v>
      </c>
    </row>
    <row r="21" spans="1:10" x14ac:dyDescent="0.25">
      <c r="A21">
        <v>11</v>
      </c>
      <c r="B21" s="100">
        <v>2.915</v>
      </c>
      <c r="C21" s="101">
        <v>9.1999999999999998E-2</v>
      </c>
      <c r="D21" s="101">
        <v>1</v>
      </c>
      <c r="E21" s="101">
        <v>1.98</v>
      </c>
      <c r="F21" s="101">
        <v>1</v>
      </c>
      <c r="G21" s="102">
        <v>2.004</v>
      </c>
      <c r="H21" s="310">
        <v>9.8000000000000004E-2</v>
      </c>
      <c r="I21" s="311">
        <v>1.6</v>
      </c>
      <c r="J21" s="312">
        <v>3.23</v>
      </c>
    </row>
    <row r="22" spans="1:10" x14ac:dyDescent="0.25">
      <c r="A22" s="94">
        <v>12</v>
      </c>
      <c r="B22" s="100">
        <v>3.18</v>
      </c>
      <c r="C22" s="101">
        <v>0.1</v>
      </c>
      <c r="D22" s="101">
        <v>1.2</v>
      </c>
      <c r="E22" s="101">
        <v>2.5379999999999998</v>
      </c>
      <c r="F22" s="101">
        <v>1.2</v>
      </c>
      <c r="G22" s="102">
        <v>2.649</v>
      </c>
      <c r="H22" s="310">
        <v>0.107</v>
      </c>
      <c r="I22" s="311">
        <v>1.9</v>
      </c>
      <c r="J22" s="312">
        <v>4.1660000000000004</v>
      </c>
    </row>
    <row r="23" spans="1:10" x14ac:dyDescent="0.25">
      <c r="A23">
        <v>13</v>
      </c>
      <c r="B23" s="100">
        <v>3.4449999999999998</v>
      </c>
      <c r="C23" s="101">
        <v>0.109</v>
      </c>
      <c r="D23" s="101">
        <v>1.3</v>
      </c>
      <c r="E23" s="101">
        <v>3.1890000000000001</v>
      </c>
      <c r="F23" s="101">
        <v>1.4</v>
      </c>
      <c r="G23" s="102">
        <v>3.419</v>
      </c>
      <c r="H23" s="310">
        <v>0.11600000000000001</v>
      </c>
      <c r="I23" s="311">
        <v>2.2000000000000002</v>
      </c>
      <c r="J23" s="312">
        <v>5.266</v>
      </c>
    </row>
    <row r="24" spans="1:10" x14ac:dyDescent="0.25">
      <c r="A24">
        <v>14</v>
      </c>
      <c r="B24" s="100">
        <v>3.71</v>
      </c>
      <c r="C24" s="101">
        <v>0.11700000000000001</v>
      </c>
      <c r="D24" s="101">
        <v>1.6</v>
      </c>
      <c r="E24" s="101">
        <v>3.9460000000000002</v>
      </c>
      <c r="F24" s="101">
        <v>1.7</v>
      </c>
      <c r="G24" s="102">
        <v>4.3959999999999999</v>
      </c>
      <c r="H24" s="310">
        <v>0.125</v>
      </c>
      <c r="I24" s="311">
        <v>2.6</v>
      </c>
      <c r="J24" s="312">
        <v>6.5419999999999998</v>
      </c>
    </row>
    <row r="25" spans="1:10" x14ac:dyDescent="0.25">
      <c r="A25">
        <v>15</v>
      </c>
      <c r="B25" s="100">
        <v>3.9750000000000001</v>
      </c>
      <c r="C25" s="101">
        <v>0.125</v>
      </c>
      <c r="D25" s="101">
        <v>1.8</v>
      </c>
      <c r="E25" s="101">
        <v>4.8120000000000003</v>
      </c>
      <c r="F25" s="101">
        <v>2</v>
      </c>
      <c r="G25" s="102">
        <v>5.3760000000000003</v>
      </c>
      <c r="H25" s="310">
        <v>0.13400000000000001</v>
      </c>
      <c r="I25" s="311">
        <v>2.9</v>
      </c>
      <c r="J25" s="312">
        <v>8.0120000000000005</v>
      </c>
    </row>
    <row r="26" spans="1:10" x14ac:dyDescent="0.25">
      <c r="A26" s="94">
        <v>16</v>
      </c>
      <c r="B26" s="100">
        <v>4.24</v>
      </c>
      <c r="C26" s="101">
        <v>0.13400000000000001</v>
      </c>
      <c r="D26" s="101">
        <v>2</v>
      </c>
      <c r="E26" s="101">
        <v>5.7939999999999996</v>
      </c>
      <c r="F26" s="101">
        <v>2.2999999999999998</v>
      </c>
      <c r="G26" s="102">
        <v>6.8129999999999997</v>
      </c>
      <c r="H26" s="310">
        <v>0.14299999999999999</v>
      </c>
      <c r="I26" s="311">
        <v>3.3</v>
      </c>
      <c r="J26" s="312">
        <v>9.6679999999999993</v>
      </c>
    </row>
    <row r="27" spans="1:10" x14ac:dyDescent="0.25">
      <c r="A27">
        <v>17</v>
      </c>
      <c r="B27" s="100">
        <v>4.5049999999999999</v>
      </c>
      <c r="C27" s="101">
        <v>0.14199999999999999</v>
      </c>
      <c r="D27" s="101">
        <v>2.2000000000000002</v>
      </c>
      <c r="E27" s="101">
        <v>6.9029999999999996</v>
      </c>
      <c r="F27" s="101">
        <v>2.7</v>
      </c>
      <c r="G27" s="102">
        <v>8.282</v>
      </c>
      <c r="H27" s="310">
        <v>0.152</v>
      </c>
      <c r="I27" s="311">
        <v>3.7</v>
      </c>
      <c r="J27" s="312">
        <v>11.566000000000001</v>
      </c>
    </row>
    <row r="28" spans="1:10" x14ac:dyDescent="0.25">
      <c r="A28">
        <v>18</v>
      </c>
      <c r="B28" s="100">
        <v>4.7699999999999996</v>
      </c>
      <c r="C28" s="101">
        <v>0.15</v>
      </c>
      <c r="D28" s="101">
        <v>2.5</v>
      </c>
      <c r="E28" s="101">
        <v>8.1460000000000008</v>
      </c>
      <c r="F28" s="101">
        <v>3</v>
      </c>
      <c r="G28" s="102">
        <v>9.923</v>
      </c>
      <c r="H28" s="310">
        <v>0.161</v>
      </c>
      <c r="I28" s="311">
        <v>4.2</v>
      </c>
      <c r="J28" s="312">
        <v>13.693</v>
      </c>
    </row>
    <row r="29" spans="1:10" x14ac:dyDescent="0.25">
      <c r="A29">
        <v>19</v>
      </c>
      <c r="B29" s="100">
        <v>5.0350000000000001</v>
      </c>
      <c r="C29" s="101">
        <v>0.159</v>
      </c>
      <c r="D29" s="101">
        <v>2.8</v>
      </c>
      <c r="E29" s="101">
        <v>9.5359999999999996</v>
      </c>
      <c r="F29" s="101">
        <v>3.3</v>
      </c>
      <c r="G29" s="102">
        <v>11.287000000000001</v>
      </c>
      <c r="H29" s="310">
        <v>0.17</v>
      </c>
      <c r="I29" s="311">
        <v>4.5999999999999996</v>
      </c>
      <c r="J29" s="312">
        <v>16.042999999999999</v>
      </c>
    </row>
    <row r="30" spans="1:10" x14ac:dyDescent="0.25">
      <c r="A30" s="94">
        <v>20</v>
      </c>
      <c r="B30" s="100">
        <v>5.3</v>
      </c>
      <c r="C30" s="101">
        <v>0.16700000000000001</v>
      </c>
      <c r="D30" s="101">
        <v>3.1</v>
      </c>
      <c r="E30" s="101">
        <v>11.089</v>
      </c>
      <c r="F30" s="101">
        <v>4</v>
      </c>
      <c r="G30" s="102">
        <v>14.679</v>
      </c>
      <c r="H30" s="310">
        <v>0.17899999999999999</v>
      </c>
      <c r="I30" s="311">
        <v>5.2</v>
      </c>
      <c r="J30" s="312">
        <v>18.745999999999999</v>
      </c>
    </row>
    <row r="31" spans="1:10" x14ac:dyDescent="0.25">
      <c r="A31">
        <v>21</v>
      </c>
      <c r="B31" s="100">
        <v>5.5650000000000004</v>
      </c>
      <c r="C31" s="101">
        <v>0.17499999999999999</v>
      </c>
      <c r="D31" s="101">
        <v>3.4</v>
      </c>
      <c r="E31" s="101">
        <v>12.823</v>
      </c>
      <c r="F31" s="101">
        <v>4.5</v>
      </c>
      <c r="G31" s="102">
        <v>17.068999999999999</v>
      </c>
      <c r="H31" s="310">
        <v>0.188</v>
      </c>
      <c r="I31" s="311">
        <v>5.7</v>
      </c>
      <c r="J31" s="312">
        <v>21.861000000000001</v>
      </c>
    </row>
    <row r="32" spans="1:10" x14ac:dyDescent="0.25">
      <c r="A32">
        <v>22</v>
      </c>
      <c r="B32" s="100">
        <v>5.83</v>
      </c>
      <c r="C32" s="101">
        <v>0.184</v>
      </c>
      <c r="D32" s="101">
        <v>3.7</v>
      </c>
      <c r="E32" s="101">
        <v>14.760999999999999</v>
      </c>
      <c r="F32" s="101">
        <v>5.7</v>
      </c>
      <c r="G32" s="102">
        <v>22.777999999999999</v>
      </c>
      <c r="H32" s="310">
        <v>0.19700000000000001</v>
      </c>
      <c r="I32" s="311">
        <v>6.2</v>
      </c>
      <c r="J32" s="312">
        <v>24.806000000000001</v>
      </c>
    </row>
    <row r="33" spans="1:10" x14ac:dyDescent="0.25">
      <c r="A33">
        <v>23</v>
      </c>
      <c r="B33" s="100">
        <v>6.0949999999999998</v>
      </c>
      <c r="C33" s="101">
        <v>0.192</v>
      </c>
      <c r="D33" s="101">
        <v>4.0999999999999996</v>
      </c>
      <c r="E33" s="101">
        <v>16.934000000000001</v>
      </c>
      <c r="F33" s="101">
        <v>5.8</v>
      </c>
      <c r="G33" s="102">
        <v>24.088000000000001</v>
      </c>
      <c r="H33" s="310">
        <v>0.20599999999999999</v>
      </c>
      <c r="I33" s="311">
        <v>6.9</v>
      </c>
      <c r="J33" s="312">
        <v>28.817</v>
      </c>
    </row>
    <row r="34" spans="1:10" x14ac:dyDescent="0.25">
      <c r="A34" s="94">
        <v>24</v>
      </c>
      <c r="B34" s="100">
        <v>6.36</v>
      </c>
      <c r="C34" s="101">
        <v>0.20100000000000001</v>
      </c>
      <c r="D34" s="101">
        <v>4.4000000000000004</v>
      </c>
      <c r="E34" s="101">
        <v>19.378</v>
      </c>
      <c r="F34" s="101">
        <v>8.3000000000000007</v>
      </c>
      <c r="G34" s="102">
        <v>36.151000000000003</v>
      </c>
      <c r="H34" s="310">
        <v>0.215</v>
      </c>
      <c r="I34" s="311">
        <v>7.4</v>
      </c>
      <c r="J34" s="312">
        <v>32.244999999999997</v>
      </c>
    </row>
    <row r="35" spans="1:10" x14ac:dyDescent="0.25">
      <c r="A35">
        <v>25</v>
      </c>
      <c r="B35" s="100">
        <v>6.625</v>
      </c>
      <c r="C35" s="101">
        <v>0.20899999999999999</v>
      </c>
      <c r="D35" s="101">
        <v>4.9000000000000004</v>
      </c>
      <c r="E35" s="101">
        <v>22.140999999999998</v>
      </c>
      <c r="F35" s="101">
        <v>9.5</v>
      </c>
      <c r="G35" s="102">
        <v>43.238999999999997</v>
      </c>
      <c r="H35" s="310">
        <v>0.224</v>
      </c>
      <c r="I35" s="311">
        <v>8.1999999999999993</v>
      </c>
      <c r="J35" s="312">
        <v>37.048000000000002</v>
      </c>
    </row>
    <row r="36" spans="1:10" x14ac:dyDescent="0.25">
      <c r="A36">
        <v>26</v>
      </c>
      <c r="B36" s="100">
        <v>6.89</v>
      </c>
      <c r="C36" s="101">
        <v>0.217</v>
      </c>
      <c r="D36" s="101">
        <v>5.3</v>
      </c>
      <c r="E36" s="101">
        <v>25.268999999999998</v>
      </c>
      <c r="F36" s="101">
        <v>8.9</v>
      </c>
      <c r="G36" s="102">
        <v>42.033000000000001</v>
      </c>
      <c r="H36" s="310">
        <v>0.23300000000000001</v>
      </c>
      <c r="I36" s="311">
        <v>9.1</v>
      </c>
      <c r="J36" s="312">
        <v>42.911000000000001</v>
      </c>
    </row>
    <row r="37" spans="1:10" x14ac:dyDescent="0.25">
      <c r="A37">
        <v>27</v>
      </c>
      <c r="B37" s="100">
        <v>7.1550000000000002</v>
      </c>
      <c r="C37" s="101">
        <v>0.22600000000000001</v>
      </c>
      <c r="D37" s="101">
        <v>5.9</v>
      </c>
      <c r="E37" s="101">
        <v>28.814</v>
      </c>
      <c r="F37" s="101">
        <v>11.3</v>
      </c>
      <c r="G37" s="102">
        <v>55.643000000000001</v>
      </c>
      <c r="H37" s="310">
        <v>0.24199999999999999</v>
      </c>
      <c r="I37" s="311">
        <v>9.6</v>
      </c>
      <c r="J37" s="312">
        <v>46.927</v>
      </c>
    </row>
    <row r="38" spans="1:10" x14ac:dyDescent="0.25">
      <c r="A38" s="94">
        <v>28</v>
      </c>
      <c r="B38" s="100">
        <v>7.42</v>
      </c>
      <c r="C38" s="101">
        <v>0.23400000000000001</v>
      </c>
      <c r="D38" s="101">
        <v>6.5</v>
      </c>
      <c r="E38" s="101">
        <v>32.889000000000003</v>
      </c>
      <c r="F38" s="101">
        <v>16.399999999999999</v>
      </c>
      <c r="G38" s="102">
        <v>83.626999999999995</v>
      </c>
      <c r="H38" s="310">
        <v>0.251</v>
      </c>
      <c r="I38" s="311">
        <v>10.199999999999999</v>
      </c>
      <c r="J38" s="312">
        <v>51.972999999999999</v>
      </c>
    </row>
    <row r="39" spans="1:10" x14ac:dyDescent="0.25">
      <c r="A39">
        <v>29</v>
      </c>
      <c r="B39" s="100">
        <v>7.6849999999999996</v>
      </c>
      <c r="C39" s="101">
        <v>0.24199999999999999</v>
      </c>
      <c r="D39" s="101">
        <v>7.1</v>
      </c>
      <c r="E39" s="101">
        <v>37.643999999999998</v>
      </c>
      <c r="F39" s="101">
        <v>19.100000000000001</v>
      </c>
      <c r="G39" s="102">
        <v>100.739</v>
      </c>
      <c r="H39" s="310">
        <v>0.25900000000000001</v>
      </c>
      <c r="I39" s="311">
        <v>11.5</v>
      </c>
      <c r="J39" s="312">
        <v>60.456000000000003</v>
      </c>
    </row>
    <row r="40" spans="1:10" x14ac:dyDescent="0.25">
      <c r="A40">
        <v>30</v>
      </c>
      <c r="B40" s="100">
        <v>7.95</v>
      </c>
      <c r="C40" s="101">
        <v>0.251</v>
      </c>
      <c r="D40" s="101">
        <v>7.9</v>
      </c>
      <c r="E40" s="101">
        <v>43.112000000000002</v>
      </c>
      <c r="F40" s="101">
        <v>17.899999999999999</v>
      </c>
      <c r="G40" s="102">
        <v>97.71</v>
      </c>
      <c r="H40" s="310">
        <v>0.26800000000000002</v>
      </c>
      <c r="I40" s="311">
        <v>12.8</v>
      </c>
      <c r="J40" s="312">
        <v>69.78</v>
      </c>
    </row>
    <row r="41" spans="1:10" x14ac:dyDescent="0.25">
      <c r="A41">
        <v>31</v>
      </c>
      <c r="B41" s="100">
        <v>8.2149999999999999</v>
      </c>
      <c r="C41" s="101">
        <v>0.25900000000000001</v>
      </c>
      <c r="D41" s="101">
        <v>8.6999999999999993</v>
      </c>
      <c r="E41" s="101">
        <v>49.154000000000003</v>
      </c>
      <c r="F41" s="101">
        <v>16.8</v>
      </c>
      <c r="G41" s="102">
        <v>94.484999999999999</v>
      </c>
      <c r="H41" s="310">
        <v>0.27700000000000002</v>
      </c>
      <c r="I41" s="311">
        <v>13.6</v>
      </c>
      <c r="J41" s="312">
        <v>76.808000000000007</v>
      </c>
    </row>
    <row r="42" spans="1:10" x14ac:dyDescent="0.25">
      <c r="A42" s="94">
        <v>32</v>
      </c>
      <c r="B42" s="100">
        <v>8.48</v>
      </c>
      <c r="C42" s="101">
        <v>0.26700000000000002</v>
      </c>
      <c r="D42" s="101">
        <v>9.6</v>
      </c>
      <c r="E42" s="101">
        <v>55.716999999999999</v>
      </c>
      <c r="F42" s="101">
        <v>18.399999999999999</v>
      </c>
      <c r="G42" s="102">
        <v>106.977</v>
      </c>
      <c r="H42" s="310">
        <v>0.28599999999999998</v>
      </c>
      <c r="I42" s="311">
        <v>14.1</v>
      </c>
      <c r="J42" s="312">
        <v>81.769000000000005</v>
      </c>
    </row>
    <row r="43" spans="1:10" x14ac:dyDescent="0.25">
      <c r="A43">
        <v>33</v>
      </c>
      <c r="B43" s="100">
        <v>8.7449999999999992</v>
      </c>
      <c r="C43" s="101">
        <v>0.27600000000000002</v>
      </c>
      <c r="D43" s="101">
        <v>10.5</v>
      </c>
      <c r="E43" s="101">
        <v>63.118000000000002</v>
      </c>
      <c r="F43" s="101">
        <v>23.8</v>
      </c>
      <c r="G43" s="102">
        <v>142.733</v>
      </c>
      <c r="H43" s="310">
        <v>0.29499999999999998</v>
      </c>
      <c r="I43" s="311">
        <v>14.6</v>
      </c>
      <c r="J43" s="312">
        <v>87.305999999999997</v>
      </c>
    </row>
    <row r="44" spans="1:10" x14ac:dyDescent="0.25">
      <c r="A44">
        <v>34</v>
      </c>
      <c r="B44" s="100">
        <v>9.01</v>
      </c>
      <c r="C44" s="101">
        <v>0.28399999999999997</v>
      </c>
      <c r="D44" s="101">
        <v>11.7</v>
      </c>
      <c r="E44" s="101">
        <v>72.034000000000006</v>
      </c>
      <c r="F44" s="101">
        <v>31.8</v>
      </c>
      <c r="G44" s="102">
        <v>196.56</v>
      </c>
      <c r="H44" s="310">
        <v>0.30399999999999999</v>
      </c>
      <c r="I44" s="311">
        <v>15.5</v>
      </c>
      <c r="J44" s="312">
        <v>95.65</v>
      </c>
    </row>
    <row r="45" spans="1:10" x14ac:dyDescent="0.25">
      <c r="A45">
        <v>35</v>
      </c>
      <c r="B45" s="100">
        <v>9.2750000000000004</v>
      </c>
      <c r="C45" s="101">
        <v>0.29199999999999998</v>
      </c>
      <c r="D45" s="101">
        <v>13.1</v>
      </c>
      <c r="E45" s="101">
        <v>83.29</v>
      </c>
      <c r="F45" s="101">
        <v>39.4</v>
      </c>
      <c r="G45" s="102">
        <v>250.791</v>
      </c>
      <c r="H45" s="310">
        <v>0.313</v>
      </c>
      <c r="I45" s="311">
        <v>16.8</v>
      </c>
      <c r="J45" s="312">
        <v>107.119</v>
      </c>
    </row>
    <row r="46" spans="1:10" x14ac:dyDescent="0.25">
      <c r="A46" s="94">
        <v>36</v>
      </c>
      <c r="B46" s="100">
        <v>9.5399999999999991</v>
      </c>
      <c r="C46" s="101">
        <v>0.30099999999999999</v>
      </c>
      <c r="D46" s="101">
        <v>14.9</v>
      </c>
      <c r="E46" s="101">
        <v>97.540999999999997</v>
      </c>
      <c r="F46" s="101">
        <v>44.3</v>
      </c>
      <c r="G46" s="102">
        <v>289.83800000000002</v>
      </c>
      <c r="H46" s="310">
        <v>0.32200000000000001</v>
      </c>
      <c r="I46" s="311">
        <v>18.399999999999999</v>
      </c>
      <c r="J46" s="312">
        <v>120.423</v>
      </c>
    </row>
    <row r="47" spans="1:10" x14ac:dyDescent="0.25">
      <c r="A47">
        <v>37</v>
      </c>
      <c r="B47" s="100">
        <v>9.8049999999999997</v>
      </c>
      <c r="C47" s="101">
        <v>0.309</v>
      </c>
      <c r="D47" s="101">
        <v>17.100000000000001</v>
      </c>
      <c r="E47" s="101">
        <v>114.884</v>
      </c>
      <c r="F47" s="101">
        <v>46.1</v>
      </c>
      <c r="G47" s="102">
        <v>310.08199999999999</v>
      </c>
      <c r="H47" s="310">
        <v>0.33100000000000002</v>
      </c>
      <c r="I47" s="311">
        <v>19.899999999999999</v>
      </c>
      <c r="J47" s="312">
        <v>133.76599999999999</v>
      </c>
    </row>
    <row r="48" spans="1:10" x14ac:dyDescent="0.25">
      <c r="A48">
        <v>38</v>
      </c>
      <c r="B48" s="100">
        <v>10.07</v>
      </c>
      <c r="C48" s="101">
        <v>0.318</v>
      </c>
      <c r="D48" s="101">
        <v>19.5</v>
      </c>
      <c r="E48" s="101">
        <v>134.541</v>
      </c>
      <c r="F48" s="101">
        <v>45.8</v>
      </c>
      <c r="G48" s="102">
        <v>316.52999999999997</v>
      </c>
      <c r="H48" s="310">
        <v>0.34</v>
      </c>
      <c r="I48" s="311">
        <v>21.1</v>
      </c>
      <c r="J48" s="312">
        <v>145.81399999999999</v>
      </c>
    </row>
    <row r="49" spans="1:30" x14ac:dyDescent="0.25">
      <c r="A49">
        <v>39</v>
      </c>
      <c r="B49" s="100">
        <v>10.335000000000001</v>
      </c>
      <c r="C49" s="101">
        <v>0.32600000000000001</v>
      </c>
      <c r="D49" s="101">
        <v>21.9</v>
      </c>
      <c r="E49" s="101">
        <v>154.98699999999999</v>
      </c>
      <c r="F49" s="101">
        <v>44.5</v>
      </c>
      <c r="G49" s="102">
        <v>315.608</v>
      </c>
      <c r="H49" s="310">
        <v>0.34899999999999998</v>
      </c>
      <c r="I49" s="311">
        <v>24</v>
      </c>
      <c r="J49" s="312">
        <v>174.12100000000001</v>
      </c>
    </row>
    <row r="50" spans="1:30" ht="15.75" thickBot="1" x14ac:dyDescent="0.3">
      <c r="A50" s="94">
        <v>40</v>
      </c>
      <c r="B50" s="103">
        <v>10.6</v>
      </c>
      <c r="C50" s="104">
        <v>0.33400000000000002</v>
      </c>
      <c r="D50" s="104">
        <v>24</v>
      </c>
      <c r="E50" s="104">
        <v>174.62299999999999</v>
      </c>
      <c r="F50" s="104">
        <v>42.9</v>
      </c>
      <c r="G50" s="105">
        <v>311.62299999999999</v>
      </c>
      <c r="H50" s="313">
        <v>0.35799999999999998</v>
      </c>
      <c r="I50" s="314">
        <v>25.7</v>
      </c>
      <c r="J50" s="315">
        <v>185.09200000000001</v>
      </c>
    </row>
    <row r="54" spans="1:30" x14ac:dyDescent="0.25">
      <c r="L54" t="s">
        <v>170</v>
      </c>
      <c r="M54">
        <v>0</v>
      </c>
      <c r="N54" t="s">
        <v>86</v>
      </c>
      <c r="AB54" t="s">
        <v>170</v>
      </c>
      <c r="AC54" t="s">
        <v>102</v>
      </c>
      <c r="AD54" t="s">
        <v>86</v>
      </c>
    </row>
    <row r="69" spans="12:30" x14ac:dyDescent="0.25">
      <c r="L69" t="s">
        <v>170</v>
      </c>
      <c r="M69">
        <f>B14</f>
        <v>1.06</v>
      </c>
      <c r="N69" t="s">
        <v>86</v>
      </c>
      <c r="AB69" t="s">
        <v>170</v>
      </c>
      <c r="AC69">
        <f>M69</f>
        <v>1.06</v>
      </c>
      <c r="AD69" t="s">
        <v>86</v>
      </c>
    </row>
    <row r="83" spans="12:30" x14ac:dyDescent="0.25">
      <c r="L83" t="s">
        <v>170</v>
      </c>
      <c r="M83">
        <f>B18</f>
        <v>2.12</v>
      </c>
      <c r="N83" t="s">
        <v>86</v>
      </c>
      <c r="AB83" t="s">
        <v>170</v>
      </c>
      <c r="AC83">
        <f>M83</f>
        <v>2.12</v>
      </c>
      <c r="AD83" t="s">
        <v>86</v>
      </c>
    </row>
    <row r="97" spans="12:30" x14ac:dyDescent="0.25">
      <c r="L97" t="s">
        <v>170</v>
      </c>
      <c r="M97">
        <f>B22</f>
        <v>3.18</v>
      </c>
      <c r="N97" t="s">
        <v>86</v>
      </c>
      <c r="AB97" t="s">
        <v>170</v>
      </c>
      <c r="AC97">
        <f>M97</f>
        <v>3.18</v>
      </c>
      <c r="AD97" t="s">
        <v>86</v>
      </c>
    </row>
    <row r="111" spans="12:30" x14ac:dyDescent="0.25">
      <c r="L111" t="s">
        <v>170</v>
      </c>
      <c r="M111">
        <f>B26</f>
        <v>4.24</v>
      </c>
      <c r="N111" t="s">
        <v>86</v>
      </c>
      <c r="AB111" t="s">
        <v>170</v>
      </c>
      <c r="AC111">
        <f>M111</f>
        <v>4.24</v>
      </c>
      <c r="AD111" t="s">
        <v>86</v>
      </c>
    </row>
    <row r="125" spans="12:30" x14ac:dyDescent="0.25">
      <c r="L125" t="s">
        <v>170</v>
      </c>
      <c r="M125">
        <f>B30</f>
        <v>5.3</v>
      </c>
      <c r="N125" t="s">
        <v>86</v>
      </c>
      <c r="AB125" t="s">
        <v>170</v>
      </c>
      <c r="AC125">
        <f>M125</f>
        <v>5.3</v>
      </c>
      <c r="AD125" t="s">
        <v>86</v>
      </c>
    </row>
    <row r="128" spans="12:30" ht="15.75" thickBot="1" x14ac:dyDescent="0.3"/>
    <row r="129" spans="2:30" ht="14.45" customHeight="1" x14ac:dyDescent="0.3">
      <c r="B129" s="528" t="s">
        <v>182</v>
      </c>
      <c r="C129" s="529"/>
      <c r="D129" s="529"/>
      <c r="E129" s="529"/>
      <c r="F129" s="529"/>
      <c r="G129" s="530"/>
      <c r="H129" s="316"/>
      <c r="I129" s="316"/>
      <c r="J129" s="316"/>
    </row>
    <row r="130" spans="2:30" ht="15.75" thickBot="1" x14ac:dyDescent="0.3">
      <c r="B130" s="540" t="s">
        <v>15</v>
      </c>
      <c r="C130" s="533"/>
      <c r="D130" s="533"/>
      <c r="E130" s="533" t="s">
        <v>16</v>
      </c>
      <c r="F130" s="533"/>
      <c r="G130" s="534"/>
    </row>
    <row r="131" spans="2:30" x14ac:dyDescent="0.25">
      <c r="B131" s="542" t="s">
        <v>161</v>
      </c>
      <c r="C131" s="538"/>
      <c r="D131" s="392">
        <f>E50</f>
        <v>174.62299999999999</v>
      </c>
      <c r="E131" s="538" t="s">
        <v>161</v>
      </c>
      <c r="F131" s="538"/>
      <c r="G131" s="393">
        <f>J50</f>
        <v>185.09200000000001</v>
      </c>
    </row>
    <row r="132" spans="2:30" x14ac:dyDescent="0.25">
      <c r="B132" s="536" t="s">
        <v>175</v>
      </c>
      <c r="C132" s="535"/>
      <c r="D132" s="394">
        <f>B50</f>
        <v>10.6</v>
      </c>
      <c r="E132" s="535" t="s">
        <v>175</v>
      </c>
      <c r="F132" s="535"/>
      <c r="G132" s="395">
        <f>D132</f>
        <v>10.6</v>
      </c>
    </row>
    <row r="133" spans="2:30" x14ac:dyDescent="0.25">
      <c r="B133" s="536" t="s">
        <v>176</v>
      </c>
      <c r="C133" s="535"/>
      <c r="D133" s="109">
        <v>1.23</v>
      </c>
      <c r="E133" s="535" t="s">
        <v>176</v>
      </c>
      <c r="F133" s="535"/>
      <c r="G133" s="77">
        <v>1.1599999999999999</v>
      </c>
    </row>
    <row r="134" spans="2:30" x14ac:dyDescent="0.25">
      <c r="B134" s="541" t="s">
        <v>177</v>
      </c>
      <c r="C134" s="539"/>
      <c r="D134" s="109">
        <v>0.627</v>
      </c>
      <c r="E134" s="539" t="s">
        <v>177</v>
      </c>
      <c r="F134" s="539"/>
      <c r="G134" s="77">
        <v>0.66600000000000004</v>
      </c>
    </row>
    <row r="135" spans="2:30" x14ac:dyDescent="0.25">
      <c r="B135" s="541" t="s">
        <v>178</v>
      </c>
      <c r="C135" s="539"/>
      <c r="D135" s="109">
        <v>1.014</v>
      </c>
      <c r="E135" s="539" t="s">
        <v>178</v>
      </c>
      <c r="F135" s="539"/>
      <c r="G135" s="77">
        <v>1.01</v>
      </c>
    </row>
    <row r="136" spans="2:30" x14ac:dyDescent="0.25">
      <c r="B136" s="536" t="s">
        <v>179</v>
      </c>
      <c r="C136" s="535"/>
      <c r="D136" s="109">
        <f>D133*D134*D135</f>
        <v>0.78200693999999993</v>
      </c>
      <c r="E136" s="535" t="s">
        <v>179</v>
      </c>
      <c r="F136" s="535"/>
      <c r="G136" s="77">
        <f>G133*G134*G135</f>
        <v>0.78028560000000002</v>
      </c>
    </row>
    <row r="137" spans="2:30" x14ac:dyDescent="0.25">
      <c r="B137" s="536" t="s">
        <v>180</v>
      </c>
      <c r="C137" s="535"/>
      <c r="D137" s="109">
        <f>D131/D136</f>
        <v>223.30108732794622</v>
      </c>
      <c r="E137" s="535" t="s">
        <v>180</v>
      </c>
      <c r="F137" s="535"/>
      <c r="G137" s="77">
        <f>G131/G136</f>
        <v>237.21058033109929</v>
      </c>
    </row>
    <row r="138" spans="2:30" x14ac:dyDescent="0.25">
      <c r="B138" s="536" t="s">
        <v>181</v>
      </c>
      <c r="C138" s="535"/>
      <c r="D138" s="109">
        <f>D137*0.98</f>
        <v>218.83506558138728</v>
      </c>
      <c r="E138" s="535" t="s">
        <v>181</v>
      </c>
      <c r="F138" s="535"/>
      <c r="G138" s="77">
        <f>G137*0.98</f>
        <v>232.46636872447729</v>
      </c>
    </row>
    <row r="139" spans="2:30" x14ac:dyDescent="0.25">
      <c r="B139" s="536" t="s">
        <v>185</v>
      </c>
      <c r="C139" s="535"/>
      <c r="D139" s="77">
        <f>D137+(3%*D137)</f>
        <v>230.00011994778461</v>
      </c>
      <c r="E139" s="535" t="s">
        <v>185</v>
      </c>
      <c r="F139" s="535"/>
      <c r="G139" s="77">
        <f>G137+(3%*G137)</f>
        <v>244.32689774103227</v>
      </c>
      <c r="H139" s="110" t="s">
        <v>183</v>
      </c>
      <c r="L139" t="s">
        <v>170</v>
      </c>
      <c r="M139">
        <f>B34</f>
        <v>6.36</v>
      </c>
      <c r="N139" t="s">
        <v>86</v>
      </c>
      <c r="AB139" t="s">
        <v>170</v>
      </c>
      <c r="AC139">
        <f>M139</f>
        <v>6.36</v>
      </c>
      <c r="AD139" t="s">
        <v>86</v>
      </c>
    </row>
    <row r="140" spans="2:30" ht="15.75" thickBot="1" x14ac:dyDescent="0.3">
      <c r="B140" s="537" t="s">
        <v>186</v>
      </c>
      <c r="C140" s="527"/>
      <c r="D140" s="80">
        <f>D139/2</f>
        <v>115.00005997389231</v>
      </c>
      <c r="E140" s="527" t="s">
        <v>186</v>
      </c>
      <c r="F140" s="527"/>
      <c r="G140" s="80">
        <f>G139/2</f>
        <v>122.16344887051613</v>
      </c>
      <c r="H140" s="110" t="s">
        <v>184</v>
      </c>
    </row>
    <row r="141" spans="2:30" x14ac:dyDescent="0.25">
      <c r="C141" t="s">
        <v>252</v>
      </c>
      <c r="D141">
        <v>300</v>
      </c>
      <c r="G141">
        <v>150</v>
      </c>
    </row>
    <row r="142" spans="2:30" x14ac:dyDescent="0.25">
      <c r="C142" t="s">
        <v>253</v>
      </c>
      <c r="D142">
        <f>D141*1.34102</f>
        <v>402.30600000000004</v>
      </c>
      <c r="F142" t="s">
        <v>253</v>
      </c>
      <c r="G142">
        <f>D142/2</f>
        <v>201.15300000000002</v>
      </c>
    </row>
    <row r="153" spans="2:30" ht="15.75" thickBot="1" x14ac:dyDescent="0.3">
      <c r="L153" t="s">
        <v>170</v>
      </c>
      <c r="M153">
        <f>B38</f>
        <v>7.42</v>
      </c>
      <c r="N153" t="s">
        <v>86</v>
      </c>
      <c r="AB153" t="s">
        <v>170</v>
      </c>
      <c r="AC153">
        <f>M153</f>
        <v>7.42</v>
      </c>
      <c r="AD153" t="s">
        <v>86</v>
      </c>
    </row>
    <row r="154" spans="2:30" x14ac:dyDescent="0.25">
      <c r="B154" s="528" t="s">
        <v>187</v>
      </c>
      <c r="C154" s="529"/>
      <c r="D154" s="529"/>
      <c r="E154" s="529"/>
      <c r="F154" s="529"/>
      <c r="G154" s="529"/>
      <c r="H154" s="529"/>
      <c r="I154" s="530"/>
    </row>
    <row r="155" spans="2:30" ht="15.75" thickBot="1" x14ac:dyDescent="0.3">
      <c r="B155" s="531" t="s">
        <v>401</v>
      </c>
      <c r="C155" s="532"/>
      <c r="D155" s="532"/>
      <c r="E155" s="532"/>
      <c r="F155" s="533" t="s">
        <v>400</v>
      </c>
      <c r="G155" s="533"/>
      <c r="H155" s="533"/>
      <c r="I155" s="534"/>
      <c r="J155" s="110" t="s">
        <v>271</v>
      </c>
    </row>
    <row r="156" spans="2:30" x14ac:dyDescent="0.25">
      <c r="B156" s="568" t="s">
        <v>255</v>
      </c>
      <c r="C156" s="567"/>
      <c r="D156" s="567" t="s">
        <v>265</v>
      </c>
      <c r="E156" s="567"/>
      <c r="F156" s="538" t="s">
        <v>255</v>
      </c>
      <c r="G156" s="538"/>
      <c r="H156" s="571" t="s">
        <v>265</v>
      </c>
      <c r="I156" s="572"/>
    </row>
    <row r="157" spans="2:30" x14ac:dyDescent="0.25">
      <c r="B157" s="565" t="s">
        <v>256</v>
      </c>
      <c r="C157" s="566"/>
      <c r="D157" s="566" t="s">
        <v>273</v>
      </c>
      <c r="E157" s="566"/>
      <c r="F157" s="535" t="s">
        <v>256</v>
      </c>
      <c r="G157" s="535"/>
      <c r="H157" s="573" t="s">
        <v>272</v>
      </c>
      <c r="I157" s="574"/>
    </row>
    <row r="158" spans="2:30" x14ac:dyDescent="0.25">
      <c r="B158" s="565" t="s">
        <v>257</v>
      </c>
      <c r="C158" s="566"/>
      <c r="D158" s="277">
        <v>303.60000000000002</v>
      </c>
      <c r="E158" s="277" t="s">
        <v>266</v>
      </c>
      <c r="F158" s="535" t="s">
        <v>257</v>
      </c>
      <c r="G158" s="535"/>
      <c r="H158" s="317">
        <v>155.5</v>
      </c>
      <c r="I158" s="287" t="s">
        <v>266</v>
      </c>
      <c r="J158" s="110">
        <f>H158*2</f>
        <v>311</v>
      </c>
    </row>
    <row r="159" spans="2:30" x14ac:dyDescent="0.25">
      <c r="B159" s="565" t="s">
        <v>258</v>
      </c>
      <c r="C159" s="566"/>
      <c r="D159" s="277">
        <v>1360</v>
      </c>
      <c r="E159" s="277" t="s">
        <v>267</v>
      </c>
      <c r="F159" s="535" t="s">
        <v>258</v>
      </c>
      <c r="G159" s="535"/>
      <c r="H159" s="317">
        <v>1150</v>
      </c>
      <c r="I159" s="287" t="s">
        <v>267</v>
      </c>
      <c r="J159" s="110">
        <f>H159*2</f>
        <v>2300</v>
      </c>
    </row>
    <row r="160" spans="2:30" x14ac:dyDescent="0.25">
      <c r="B160" s="565" t="s">
        <v>259</v>
      </c>
      <c r="C160" s="566"/>
      <c r="D160" s="277">
        <v>1762</v>
      </c>
      <c r="E160" s="277" t="s">
        <v>268</v>
      </c>
      <c r="F160" s="535" t="s">
        <v>259</v>
      </c>
      <c r="G160" s="535"/>
      <c r="H160" s="110">
        <v>1732</v>
      </c>
      <c r="I160" s="287" t="s">
        <v>268</v>
      </c>
    </row>
    <row r="161" spans="2:30" x14ac:dyDescent="0.25">
      <c r="B161" s="565" t="s">
        <v>260</v>
      </c>
      <c r="C161" s="566"/>
      <c r="D161" s="277">
        <v>811</v>
      </c>
      <c r="E161" s="277" t="s">
        <v>268</v>
      </c>
      <c r="F161" s="535" t="s">
        <v>260</v>
      </c>
      <c r="G161" s="535"/>
      <c r="H161" s="317">
        <v>845</v>
      </c>
      <c r="I161" s="287" t="s">
        <v>268</v>
      </c>
    </row>
    <row r="162" spans="2:30" x14ac:dyDescent="0.25">
      <c r="B162" s="565" t="s">
        <v>261</v>
      </c>
      <c r="C162" s="566"/>
      <c r="D162" s="277">
        <v>1532</v>
      </c>
      <c r="E162" s="277" t="s">
        <v>268</v>
      </c>
      <c r="F162" s="535" t="s">
        <v>261</v>
      </c>
      <c r="G162" s="535"/>
      <c r="H162" s="317">
        <v>1298</v>
      </c>
      <c r="I162" s="287" t="s">
        <v>268</v>
      </c>
    </row>
    <row r="163" spans="2:30" x14ac:dyDescent="0.25">
      <c r="B163" s="565" t="s">
        <v>262</v>
      </c>
      <c r="C163" s="566"/>
      <c r="D163" s="277">
        <v>1500</v>
      </c>
      <c r="E163" s="277" t="s">
        <v>269</v>
      </c>
      <c r="F163" s="535" t="s">
        <v>262</v>
      </c>
      <c r="G163" s="535"/>
      <c r="H163" s="317">
        <v>1800</v>
      </c>
      <c r="I163" s="287" t="s">
        <v>269</v>
      </c>
    </row>
    <row r="164" spans="2:30" x14ac:dyDescent="0.25">
      <c r="B164" s="565" t="s">
        <v>263</v>
      </c>
      <c r="C164" s="566"/>
      <c r="D164" s="277">
        <v>197</v>
      </c>
      <c r="E164" s="277" t="s">
        <v>270</v>
      </c>
      <c r="F164" s="535" t="s">
        <v>263</v>
      </c>
      <c r="G164" s="535"/>
      <c r="H164" s="317">
        <v>197</v>
      </c>
      <c r="I164" s="287" t="s">
        <v>270</v>
      </c>
      <c r="J164" s="110">
        <f>H164*2</f>
        <v>394</v>
      </c>
    </row>
    <row r="165" spans="2:30" ht="15.75" thickBot="1" x14ac:dyDescent="0.3">
      <c r="B165" s="569" t="s">
        <v>264</v>
      </c>
      <c r="C165" s="570"/>
      <c r="D165" s="278">
        <v>0.7</v>
      </c>
      <c r="E165" s="278" t="s">
        <v>270</v>
      </c>
      <c r="F165" s="527" t="s">
        <v>264</v>
      </c>
      <c r="G165" s="527"/>
      <c r="H165" s="290">
        <v>0.7</v>
      </c>
      <c r="I165" s="291" t="s">
        <v>270</v>
      </c>
      <c r="J165" s="110">
        <f>H165*2</f>
        <v>1.4</v>
      </c>
    </row>
    <row r="167" spans="2:30" x14ac:dyDescent="0.25">
      <c r="B167" s="242" t="s">
        <v>254</v>
      </c>
      <c r="L167" t="s">
        <v>170</v>
      </c>
      <c r="M167">
        <f>B42</f>
        <v>8.48</v>
      </c>
      <c r="N167" t="s">
        <v>86</v>
      </c>
      <c r="AB167" t="s">
        <v>170</v>
      </c>
      <c r="AC167">
        <f>M167</f>
        <v>8.48</v>
      </c>
      <c r="AD167" t="s">
        <v>86</v>
      </c>
    </row>
    <row r="169" spans="2:30" x14ac:dyDescent="0.25">
      <c r="D169">
        <f>D161/2</f>
        <v>405.5</v>
      </c>
    </row>
    <row r="171" spans="2:30" ht="15.75" thickBot="1" x14ac:dyDescent="0.3"/>
    <row r="172" spans="2:30" x14ac:dyDescent="0.25">
      <c r="D172" s="234" t="s">
        <v>352</v>
      </c>
      <c r="E172" s="235"/>
    </row>
    <row r="173" spans="2:30" x14ac:dyDescent="0.25">
      <c r="D173" s="236">
        <v>2.1749999999999998</v>
      </c>
      <c r="E173" s="237" t="s">
        <v>111</v>
      </c>
    </row>
    <row r="174" spans="2:30" x14ac:dyDescent="0.25">
      <c r="D174" s="238" t="s">
        <v>304</v>
      </c>
      <c r="E174" s="237"/>
    </row>
    <row r="175" spans="2:30" x14ac:dyDescent="0.25">
      <c r="D175" s="239">
        <f>'Estimasi LWT'!C7</f>
        <v>2.2999999999999998</v>
      </c>
      <c r="E175" s="237" t="s">
        <v>92</v>
      </c>
    </row>
    <row r="176" spans="2:30" x14ac:dyDescent="0.25">
      <c r="D176" s="238" t="s">
        <v>353</v>
      </c>
      <c r="E176" s="237"/>
    </row>
    <row r="177" spans="4:30" ht="15.75" thickBot="1" x14ac:dyDescent="0.3">
      <c r="D177" s="240">
        <f>D175/D173</f>
        <v>1.0574712643678161</v>
      </c>
      <c r="E177" s="241" t="s">
        <v>354</v>
      </c>
    </row>
    <row r="181" spans="4:30" x14ac:dyDescent="0.25">
      <c r="L181" t="s">
        <v>170</v>
      </c>
      <c r="M181">
        <f>B46</f>
        <v>9.5399999999999991</v>
      </c>
      <c r="N181" t="s">
        <v>86</v>
      </c>
      <c r="AB181" t="s">
        <v>170</v>
      </c>
      <c r="AC181">
        <f>M181</f>
        <v>9.5399999999999991</v>
      </c>
      <c r="AD181" t="s">
        <v>86</v>
      </c>
    </row>
    <row r="195" spans="12:30" x14ac:dyDescent="0.25">
      <c r="L195" t="s">
        <v>170</v>
      </c>
      <c r="M195">
        <f>B50</f>
        <v>10.6</v>
      </c>
      <c r="N195" t="s">
        <v>86</v>
      </c>
      <c r="AB195" t="s">
        <v>170</v>
      </c>
      <c r="AC195">
        <f>M195</f>
        <v>10.6</v>
      </c>
      <c r="AD195" t="s">
        <v>86</v>
      </c>
    </row>
  </sheetData>
  <mergeCells count="63">
    <mergeCell ref="B165:C165"/>
    <mergeCell ref="D157:E157"/>
    <mergeCell ref="F156:G156"/>
    <mergeCell ref="H156:I156"/>
    <mergeCell ref="F157:G157"/>
    <mergeCell ref="H157:I157"/>
    <mergeCell ref="F158:G158"/>
    <mergeCell ref="F159:G159"/>
    <mergeCell ref="F160:G160"/>
    <mergeCell ref="F161:G161"/>
    <mergeCell ref="F162:G162"/>
    <mergeCell ref="F163:G163"/>
    <mergeCell ref="F164:G164"/>
    <mergeCell ref="F165:G165"/>
    <mergeCell ref="B161:C161"/>
    <mergeCell ref="B162:C162"/>
    <mergeCell ref="B163:C163"/>
    <mergeCell ref="D156:E156"/>
    <mergeCell ref="B164:C164"/>
    <mergeCell ref="B156:C156"/>
    <mergeCell ref="B157:C157"/>
    <mergeCell ref="B158:C158"/>
    <mergeCell ref="B159:C159"/>
    <mergeCell ref="B160:C160"/>
    <mergeCell ref="B129:G129"/>
    <mergeCell ref="AB2:AP2"/>
    <mergeCell ref="L2:Z2"/>
    <mergeCell ref="B6:B9"/>
    <mergeCell ref="C6:G6"/>
    <mergeCell ref="D8:E8"/>
    <mergeCell ref="F8:G8"/>
    <mergeCell ref="C8:C9"/>
    <mergeCell ref="H6:J6"/>
    <mergeCell ref="H8:H9"/>
    <mergeCell ref="I8:J8"/>
    <mergeCell ref="C3:E3"/>
    <mergeCell ref="C4:E4"/>
    <mergeCell ref="B2:J2"/>
    <mergeCell ref="B130:D130"/>
    <mergeCell ref="E130:G130"/>
    <mergeCell ref="B133:C133"/>
    <mergeCell ref="B134:C134"/>
    <mergeCell ref="B135:C135"/>
    <mergeCell ref="B131:C131"/>
    <mergeCell ref="B132:C132"/>
    <mergeCell ref="B138:C138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B136:C136"/>
    <mergeCell ref="B137:C137"/>
    <mergeCell ref="E140:F140"/>
    <mergeCell ref="B154:I154"/>
    <mergeCell ref="B155:E155"/>
    <mergeCell ref="F155:I155"/>
    <mergeCell ref="E139:F139"/>
    <mergeCell ref="B139:C139"/>
    <mergeCell ref="B140:C140"/>
  </mergeCells>
  <hyperlinks>
    <hyperlink ref="B167" r:id="rId1" xr:uid="{CD835C46-89CD-46A0-A0D2-CB142D8CD879}"/>
  </hyperlinks>
  <pageMargins left="0.7" right="0.7" top="0.75" bottom="0.75" header="0.3" footer="0.3"/>
  <pageSetup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F63B3-661C-4636-BBC8-FC4589FB2B27}">
  <sheetPr>
    <tabColor rgb="FF00B050"/>
  </sheetPr>
  <dimension ref="B1:P71"/>
  <sheetViews>
    <sheetView topLeftCell="A10" zoomScale="81" zoomScaleNormal="85" workbookViewId="0">
      <selection activeCell="D29" sqref="D29"/>
    </sheetView>
  </sheetViews>
  <sheetFormatPr defaultColWidth="8.85546875" defaultRowHeight="15" x14ac:dyDescent="0.25"/>
  <cols>
    <col min="1" max="3" width="8.85546875" style="110"/>
    <col min="4" max="4" width="14.28515625" style="110" bestFit="1" customWidth="1"/>
    <col min="5" max="10" width="8.85546875" style="110"/>
    <col min="11" max="11" width="12.7109375" style="110" bestFit="1" customWidth="1"/>
    <col min="12" max="12" width="14.28515625" style="110" bestFit="1" customWidth="1"/>
    <col min="13" max="16384" width="8.85546875" style="110"/>
  </cols>
  <sheetData>
    <row r="1" spans="2:14" ht="15.75" thickBot="1" x14ac:dyDescent="0.3"/>
    <row r="2" spans="2:14" ht="19.5" thickBot="1" x14ac:dyDescent="0.35">
      <c r="B2" s="575" t="s">
        <v>188</v>
      </c>
      <c r="C2" s="576"/>
      <c r="D2" s="576"/>
      <c r="E2" s="576"/>
      <c r="F2" s="576"/>
      <c r="G2" s="576"/>
      <c r="H2" s="576"/>
      <c r="I2" s="576"/>
      <c r="J2" s="576"/>
      <c r="K2" s="576"/>
      <c r="L2" s="576"/>
      <c r="M2" s="576"/>
      <c r="N2" s="577"/>
    </row>
    <row r="3" spans="2:14" ht="15.75" thickBot="1" x14ac:dyDescent="0.3">
      <c r="B3" s="586" t="s">
        <v>155</v>
      </c>
      <c r="C3" s="587"/>
      <c r="D3" s="587"/>
      <c r="E3" s="587"/>
      <c r="F3" s="588"/>
      <c r="J3" s="586" t="s">
        <v>156</v>
      </c>
      <c r="K3" s="587"/>
      <c r="L3" s="587"/>
      <c r="M3" s="587"/>
      <c r="N3" s="588"/>
    </row>
    <row r="4" spans="2:14" x14ac:dyDescent="0.25">
      <c r="B4" s="111" t="s">
        <v>189</v>
      </c>
      <c r="C4" s="112"/>
      <c r="D4" s="112"/>
      <c r="E4" s="112"/>
      <c r="F4" s="113"/>
      <c r="J4" s="111" t="s">
        <v>189</v>
      </c>
      <c r="K4" s="112"/>
      <c r="L4" s="112"/>
      <c r="M4" s="112"/>
      <c r="N4" s="113"/>
    </row>
    <row r="5" spans="2:14" x14ac:dyDescent="0.25">
      <c r="B5" s="114"/>
      <c r="F5" s="115"/>
      <c r="J5" s="114"/>
      <c r="N5" s="115"/>
    </row>
    <row r="6" spans="2:14" x14ac:dyDescent="0.25">
      <c r="B6" s="114"/>
      <c r="F6" s="115"/>
      <c r="J6" s="114"/>
      <c r="N6" s="115"/>
    </row>
    <row r="7" spans="2:14" x14ac:dyDescent="0.25">
      <c r="B7" s="114"/>
      <c r="F7" s="115"/>
      <c r="J7" s="114"/>
      <c r="N7" s="115"/>
    </row>
    <row r="8" spans="2:14" x14ac:dyDescent="0.25">
      <c r="B8" s="114"/>
      <c r="F8" s="115"/>
      <c r="J8" s="114"/>
      <c r="N8" s="115"/>
    </row>
    <row r="9" spans="2:14" x14ac:dyDescent="0.25">
      <c r="B9" s="114"/>
      <c r="F9" s="115"/>
      <c r="J9" s="114"/>
      <c r="K9" s="578" t="s">
        <v>240</v>
      </c>
      <c r="L9" s="578"/>
      <c r="M9" s="578"/>
      <c r="N9" s="579"/>
    </row>
    <row r="10" spans="2:14" x14ac:dyDescent="0.25">
      <c r="B10" s="114"/>
      <c r="F10" s="115"/>
      <c r="J10" s="114"/>
      <c r="K10" s="578"/>
      <c r="L10" s="578"/>
      <c r="M10" s="578"/>
      <c r="N10" s="579"/>
    </row>
    <row r="11" spans="2:14" x14ac:dyDescent="0.25">
      <c r="B11" s="114" t="s">
        <v>190</v>
      </c>
      <c r="F11" s="115"/>
      <c r="J11" s="114" t="s">
        <v>190</v>
      </c>
      <c r="N11" s="115"/>
    </row>
    <row r="12" spans="2:14" x14ac:dyDescent="0.25">
      <c r="B12" s="114"/>
      <c r="C12" s="583" t="s">
        <v>191</v>
      </c>
      <c r="D12" s="589" t="s">
        <v>192</v>
      </c>
      <c r="E12" s="589"/>
      <c r="F12" s="115"/>
      <c r="J12" s="114"/>
      <c r="K12" s="583" t="s">
        <v>191</v>
      </c>
      <c r="L12" s="589" t="s">
        <v>192</v>
      </c>
      <c r="M12" s="589"/>
      <c r="N12" s="115"/>
    </row>
    <row r="13" spans="2:14" x14ac:dyDescent="0.25">
      <c r="B13" s="114"/>
      <c r="C13" s="583"/>
      <c r="D13" s="116">
        <v>1</v>
      </c>
      <c r="E13" s="117" t="s">
        <v>193</v>
      </c>
      <c r="F13" s="118" t="s">
        <v>217</v>
      </c>
      <c r="J13" s="114"/>
      <c r="K13" s="583"/>
      <c r="L13" s="116">
        <v>1</v>
      </c>
      <c r="M13" s="117" t="s">
        <v>193</v>
      </c>
      <c r="N13" s="118" t="s">
        <v>217</v>
      </c>
    </row>
    <row r="14" spans="2:14" x14ac:dyDescent="0.25">
      <c r="B14" s="114"/>
      <c r="C14" s="583" t="s">
        <v>206</v>
      </c>
      <c r="D14" s="589" t="s">
        <v>194</v>
      </c>
      <c r="E14" s="589"/>
      <c r="F14" s="115"/>
      <c r="J14" s="114"/>
      <c r="K14" s="583" t="s">
        <v>206</v>
      </c>
      <c r="L14" s="589" t="s">
        <v>194</v>
      </c>
      <c r="M14" s="589"/>
      <c r="N14" s="115"/>
    </row>
    <row r="15" spans="2:14" x14ac:dyDescent="0.25">
      <c r="B15" s="114"/>
      <c r="C15" s="583"/>
      <c r="D15" s="116">
        <f>'Ukuran Utama Kapal'!E145*0.51444</f>
        <v>5.4530639999999995</v>
      </c>
      <c r="E15" s="117" t="s">
        <v>195</v>
      </c>
      <c r="F15" s="115"/>
      <c r="J15" s="114"/>
      <c r="K15" s="583"/>
      <c r="L15" s="116">
        <f>D15</f>
        <v>5.4530639999999995</v>
      </c>
      <c r="M15" s="117" t="s">
        <v>195</v>
      </c>
      <c r="N15" s="115"/>
    </row>
    <row r="16" spans="2:14" x14ac:dyDescent="0.25">
      <c r="B16" s="114"/>
      <c r="C16" s="583" t="s">
        <v>196</v>
      </c>
      <c r="D16" s="584" t="s">
        <v>197</v>
      </c>
      <c r="E16" s="584"/>
      <c r="F16" s="115"/>
      <c r="J16" s="114"/>
      <c r="K16" s="583" t="s">
        <v>196</v>
      </c>
      <c r="L16" s="584" t="s">
        <v>197</v>
      </c>
      <c r="M16" s="584"/>
      <c r="N16" s="115"/>
    </row>
    <row r="17" spans="2:15" x14ac:dyDescent="0.25">
      <c r="B17" s="114"/>
      <c r="C17" s="583"/>
      <c r="D17" s="116">
        <f>'Hydrostatics (Maxsurf)'!C13</f>
        <v>202.99100000000001</v>
      </c>
      <c r="E17" s="117" t="s">
        <v>117</v>
      </c>
      <c r="F17" s="115"/>
      <c r="J17" s="114"/>
      <c r="K17" s="583"/>
      <c r="L17" s="116">
        <f>'Hydrostatics (Maxsurf)'!D13/2</f>
        <v>154.9725</v>
      </c>
      <c r="M17" s="117" t="s">
        <v>117</v>
      </c>
      <c r="N17" s="115"/>
    </row>
    <row r="18" spans="2:15" ht="26.45" customHeight="1" x14ac:dyDescent="0.25">
      <c r="B18" s="114"/>
      <c r="C18" s="583" t="s">
        <v>198</v>
      </c>
      <c r="D18" s="585" t="s">
        <v>199</v>
      </c>
      <c r="E18" s="585"/>
      <c r="F18" s="115"/>
      <c r="J18" s="114"/>
      <c r="K18" s="583" t="s">
        <v>198</v>
      </c>
      <c r="L18" s="585" t="s">
        <v>199</v>
      </c>
      <c r="M18" s="585"/>
      <c r="N18" s="115"/>
    </row>
    <row r="19" spans="2:15" x14ac:dyDescent="0.25">
      <c r="B19" s="114"/>
      <c r="C19" s="583"/>
      <c r="D19" s="116">
        <f>0.075/((LOG10(D40)-2)^2)</f>
        <v>2.007027704062346E-3</v>
      </c>
      <c r="E19" s="117"/>
      <c r="F19" s="115"/>
      <c r="J19" s="114"/>
      <c r="K19" s="583"/>
      <c r="L19" s="116">
        <f>0.075/((LOG10(L40)-2)^2)</f>
        <v>2.0452341373433094E-3</v>
      </c>
      <c r="M19" s="117"/>
      <c r="N19" s="115"/>
    </row>
    <row r="20" spans="2:15" ht="28.9" customHeight="1" x14ac:dyDescent="0.25">
      <c r="B20" s="114"/>
      <c r="C20" s="583" t="s">
        <v>203</v>
      </c>
      <c r="D20" s="585" t="s">
        <v>204</v>
      </c>
      <c r="E20" s="585"/>
      <c r="F20" s="115"/>
      <c r="J20" s="114"/>
      <c r="K20" s="583" t="s">
        <v>203</v>
      </c>
      <c r="L20" s="585" t="s">
        <v>204</v>
      </c>
      <c r="M20" s="585"/>
      <c r="N20" s="115"/>
    </row>
    <row r="21" spans="2:15" x14ac:dyDescent="0.25">
      <c r="B21" s="114"/>
      <c r="C21" s="583"/>
      <c r="D21" s="116">
        <f>'Resistance (maxsurf)'!D7</f>
        <v>1.468</v>
      </c>
      <c r="E21" s="117"/>
      <c r="F21" s="115"/>
      <c r="J21" s="114"/>
      <c r="K21" s="583"/>
      <c r="L21" s="116">
        <f>'Resistance (maxsurf)'!I7</f>
        <v>1.5429999999999999</v>
      </c>
      <c r="M21" s="117"/>
      <c r="N21" s="115"/>
    </row>
    <row r="22" spans="2:15" ht="29.45" customHeight="1" x14ac:dyDescent="0.25">
      <c r="B22" s="114"/>
      <c r="C22" s="583" t="s">
        <v>205</v>
      </c>
      <c r="D22" s="585" t="s">
        <v>207</v>
      </c>
      <c r="E22" s="585"/>
      <c r="F22" s="115"/>
      <c r="J22" s="114"/>
      <c r="K22" s="583" t="s">
        <v>205</v>
      </c>
      <c r="L22" s="585" t="s">
        <v>207</v>
      </c>
      <c r="M22" s="585"/>
      <c r="N22" s="115"/>
    </row>
    <row r="23" spans="2:15" x14ac:dyDescent="0.25">
      <c r="B23" s="114"/>
      <c r="C23" s="583"/>
      <c r="D23" s="119">
        <f>0.006*(('Ukuran Utama Kapal'!E139+100)^(-0.16))-0.00205</f>
        <v>7.1352826675285608E-4</v>
      </c>
      <c r="E23" s="117"/>
      <c r="F23" s="115"/>
      <c r="J23" s="114"/>
      <c r="K23" s="583"/>
      <c r="L23" s="119">
        <f>0.006*(('Ukuran Utama Kapal'!T139+100)^(-0.16))-0.00205</f>
        <v>7.2578703746132775E-4</v>
      </c>
      <c r="M23" s="117"/>
      <c r="N23" s="115"/>
    </row>
    <row r="24" spans="2:15" ht="29.45" customHeight="1" x14ac:dyDescent="0.25">
      <c r="B24" s="114"/>
      <c r="C24" s="583" t="s">
        <v>209</v>
      </c>
      <c r="D24" s="585" t="s">
        <v>210</v>
      </c>
      <c r="E24" s="585"/>
      <c r="F24" s="115"/>
      <c r="J24" s="114"/>
      <c r="K24" s="583" t="s">
        <v>209</v>
      </c>
      <c r="L24" s="585" t="s">
        <v>210</v>
      </c>
      <c r="M24" s="585"/>
      <c r="N24" s="115"/>
    </row>
    <row r="25" spans="2:15" x14ac:dyDescent="0.25">
      <c r="B25" s="114"/>
      <c r="C25" s="583"/>
      <c r="D25" s="120">
        <f>D13*9.81*'Hydrostatics (Maxsurf)'!C8*0.00980665</f>
        <v>16.164645016149002</v>
      </c>
      <c r="E25" s="117" t="s">
        <v>211</v>
      </c>
      <c r="F25" s="115"/>
      <c r="J25" s="114"/>
      <c r="K25" s="583"/>
      <c r="L25" s="120">
        <f>L13*9.81*'Hydrostatics (Maxsurf)'!D8*0.00980665/2</f>
        <v>8.0817933902737504</v>
      </c>
      <c r="M25" s="117" t="s">
        <v>211</v>
      </c>
      <c r="N25" s="115"/>
    </row>
    <row r="26" spans="2:15" x14ac:dyDescent="0.25">
      <c r="B26" s="114"/>
      <c r="C26" s="583" t="s">
        <v>212</v>
      </c>
      <c r="D26" s="585" t="s">
        <v>213</v>
      </c>
      <c r="E26" s="585"/>
      <c r="F26" s="115"/>
      <c r="J26" s="114"/>
      <c r="K26" s="583" t="s">
        <v>212</v>
      </c>
      <c r="L26" s="585" t="s">
        <v>213</v>
      </c>
      <c r="M26" s="585"/>
      <c r="N26" s="115"/>
    </row>
    <row r="27" spans="2:15" ht="15.75" thickBot="1" x14ac:dyDescent="0.3">
      <c r="B27" s="114"/>
      <c r="C27" s="590"/>
      <c r="D27" s="121">
        <f>C54*C55*C56*(C57^(C71*(C58^C59)+C63*(COS(C66*(C58^-2)))))</f>
        <v>4.2056918553743114E-3</v>
      </c>
      <c r="E27" s="122" t="s">
        <v>211</v>
      </c>
      <c r="F27" s="115"/>
      <c r="J27" s="114"/>
      <c r="K27" s="590"/>
      <c r="L27" s="121">
        <f>K54*K55*K56*(K57^(K71*(K58^K59)+K63*(COS(K66*(K58^-2)))))</f>
        <v>8.1786288528618994E-3</v>
      </c>
      <c r="M27" s="122" t="s">
        <v>211</v>
      </c>
      <c r="N27" s="115"/>
    </row>
    <row r="28" spans="2:15" x14ac:dyDescent="0.25">
      <c r="B28" s="123" t="s">
        <v>215</v>
      </c>
      <c r="C28" s="124"/>
      <c r="D28" s="124"/>
      <c r="E28" s="124"/>
      <c r="F28" s="113"/>
      <c r="J28" s="123" t="s">
        <v>215</v>
      </c>
      <c r="K28" s="124"/>
      <c r="L28" s="124"/>
      <c r="M28" s="124"/>
      <c r="N28" s="113"/>
    </row>
    <row r="29" spans="2:15" ht="30" x14ac:dyDescent="0.25">
      <c r="B29" s="125"/>
      <c r="C29" s="126" t="s">
        <v>216</v>
      </c>
      <c r="D29" s="127">
        <f>(1.15*D13*(D15^2)*D17*(D19*D21+D23))+D27</f>
        <v>25.409164685361716</v>
      </c>
      <c r="E29" s="126" t="s">
        <v>211</v>
      </c>
      <c r="F29" s="115"/>
      <c r="G29" s="110">
        <f>'Resistance (maxsurf)'!D50</f>
        <v>24</v>
      </c>
      <c r="J29" s="125"/>
      <c r="K29" s="128" t="s">
        <v>241</v>
      </c>
      <c r="L29" s="127">
        <f>(0.815*L13*(L15^2)*L17*(L19*L21+L23))+L27</f>
        <v>14.586326443946916</v>
      </c>
      <c r="M29" s="126" t="s">
        <v>211</v>
      </c>
      <c r="N29" s="115"/>
      <c r="O29" s="110">
        <f>'Resistance (maxsurf)'!I50</f>
        <v>25.7</v>
      </c>
    </row>
    <row r="30" spans="2:15" ht="15.75" thickBot="1" x14ac:dyDescent="0.3">
      <c r="B30" s="125"/>
      <c r="C30" s="126"/>
      <c r="D30" s="127"/>
      <c r="E30" s="126"/>
      <c r="F30" s="115"/>
      <c r="J30" s="125"/>
      <c r="K30" s="128" t="s">
        <v>242</v>
      </c>
      <c r="L30" s="127">
        <f>L29*2</f>
        <v>29.172652887893832</v>
      </c>
      <c r="M30" s="126"/>
      <c r="N30" s="115"/>
    </row>
    <row r="31" spans="2:15" x14ac:dyDescent="0.25">
      <c r="B31" s="111" t="s">
        <v>238</v>
      </c>
      <c r="C31" s="112"/>
      <c r="D31" s="112"/>
      <c r="E31" s="112"/>
      <c r="F31" s="113"/>
      <c r="J31" s="111" t="s">
        <v>238</v>
      </c>
      <c r="K31" s="112"/>
      <c r="L31" s="112"/>
      <c r="M31" s="112"/>
      <c r="N31" s="113"/>
    </row>
    <row r="32" spans="2:15" x14ac:dyDescent="0.25">
      <c r="B32" s="114"/>
      <c r="C32" s="110" t="s">
        <v>216</v>
      </c>
      <c r="D32" s="129">
        <f>(D29-'Resistance (maxsurf)'!D50)/'Resistance (maxsurf)'!D50*100/100</f>
        <v>5.8715195223404848E-2</v>
      </c>
      <c r="F32" s="115"/>
      <c r="J32" s="114"/>
      <c r="K32" s="110" t="s">
        <v>216</v>
      </c>
      <c r="L32" s="129">
        <f>(L30-'Resistance (maxsurf)'!I50)/'Resistance (maxsurf)'!I50*100/100</f>
        <v>0.13512268046279508</v>
      </c>
      <c r="N32" s="115"/>
    </row>
    <row r="33" spans="2:14" ht="15.75" thickBot="1" x14ac:dyDescent="0.3">
      <c r="B33" s="130"/>
      <c r="C33" s="131"/>
      <c r="D33" s="132" t="s">
        <v>239</v>
      </c>
      <c r="E33" s="131"/>
      <c r="F33" s="133"/>
      <c r="J33" s="130"/>
      <c r="K33" s="131"/>
      <c r="L33" s="132" t="s">
        <v>239</v>
      </c>
      <c r="M33" s="131"/>
      <c r="N33" s="133"/>
    </row>
    <row r="34" spans="2:14" x14ac:dyDescent="0.25">
      <c r="B34" s="126"/>
      <c r="C34" s="126"/>
      <c r="D34" s="127"/>
      <c r="E34" s="126"/>
      <c r="J34" s="126"/>
      <c r="K34" s="126"/>
      <c r="L34" s="127"/>
      <c r="M34" s="126"/>
    </row>
    <row r="35" spans="2:14" ht="15.75" thickBot="1" x14ac:dyDescent="0.3">
      <c r="B35" s="126"/>
      <c r="C35" s="126"/>
      <c r="D35" s="127"/>
      <c r="E35" s="126"/>
      <c r="J35" s="126"/>
      <c r="K35" s="126"/>
      <c r="L35" s="127"/>
      <c r="M35" s="126"/>
    </row>
    <row r="36" spans="2:14" x14ac:dyDescent="0.25">
      <c r="B36" s="580" t="s">
        <v>200</v>
      </c>
      <c r="C36" s="581"/>
      <c r="D36" s="581"/>
      <c r="E36" s="581"/>
      <c r="F36" s="582"/>
      <c r="J36" s="580" t="s">
        <v>200</v>
      </c>
      <c r="K36" s="581"/>
      <c r="L36" s="581"/>
      <c r="M36" s="581"/>
      <c r="N36" s="582"/>
    </row>
    <row r="37" spans="2:14" x14ac:dyDescent="0.25">
      <c r="B37" s="114"/>
      <c r="F37" s="115"/>
      <c r="J37" s="114"/>
      <c r="N37" s="115"/>
    </row>
    <row r="38" spans="2:14" x14ac:dyDescent="0.25">
      <c r="B38" s="114"/>
      <c r="F38" s="115"/>
      <c r="J38" s="114"/>
      <c r="N38" s="115"/>
    </row>
    <row r="39" spans="2:14" x14ac:dyDescent="0.25">
      <c r="B39" s="114"/>
      <c r="C39" s="583" t="s">
        <v>201</v>
      </c>
      <c r="D39" s="584" t="s">
        <v>202</v>
      </c>
      <c r="E39" s="584"/>
      <c r="F39" s="115"/>
      <c r="J39" s="114"/>
      <c r="K39" s="583" t="s">
        <v>201</v>
      </c>
      <c r="L39" s="584" t="s">
        <v>202</v>
      </c>
      <c r="M39" s="584"/>
      <c r="N39" s="115"/>
    </row>
    <row r="40" spans="2:14" x14ac:dyDescent="0.25">
      <c r="B40" s="114"/>
      <c r="C40" s="583"/>
      <c r="D40" s="116">
        <f>(1.06*D15*'Ukuran Utama Kapal'!E138)/(1.1883*(10^(-6)))</f>
        <v>129716044.64556937</v>
      </c>
      <c r="E40" s="117"/>
      <c r="F40" s="115"/>
      <c r="J40" s="114"/>
      <c r="K40" s="583"/>
      <c r="L40" s="116">
        <f>(1.06*L15*'Ukuran Utama Kapal'!T138)/(1.1883*(10^(-6)))</f>
        <v>113665058.36097147</v>
      </c>
      <c r="M40" s="117"/>
      <c r="N40" s="115"/>
    </row>
    <row r="41" spans="2:14" ht="15.75" thickBot="1" x14ac:dyDescent="0.3">
      <c r="B41" s="130"/>
      <c r="C41" s="131"/>
      <c r="D41" s="131">
        <f>LOG10(D40)</f>
        <v>8.1129936975187213</v>
      </c>
      <c r="E41" s="131"/>
      <c r="F41" s="133"/>
      <c r="J41" s="130"/>
      <c r="K41" s="131"/>
      <c r="L41" s="131">
        <f>LOG10(L40)</f>
        <v>8.0556269792590793</v>
      </c>
      <c r="M41" s="131"/>
      <c r="N41" s="133"/>
    </row>
    <row r="42" spans="2:14" x14ac:dyDescent="0.25">
      <c r="B42" s="580" t="s">
        <v>208</v>
      </c>
      <c r="C42" s="581"/>
      <c r="D42" s="581"/>
      <c r="E42" s="581"/>
      <c r="F42" s="582"/>
      <c r="J42" s="580" t="s">
        <v>208</v>
      </c>
      <c r="K42" s="581"/>
      <c r="L42" s="581"/>
      <c r="M42" s="581"/>
      <c r="N42" s="582"/>
    </row>
    <row r="43" spans="2:14" x14ac:dyDescent="0.25">
      <c r="B43" s="114"/>
      <c r="F43" s="115"/>
      <c r="J43" s="114"/>
      <c r="N43" s="115"/>
    </row>
    <row r="44" spans="2:14" ht="15.75" thickBot="1" x14ac:dyDescent="0.3">
      <c r="B44" s="130"/>
      <c r="C44" s="131"/>
      <c r="D44" s="131"/>
      <c r="E44" s="131"/>
      <c r="F44" s="133"/>
      <c r="J44" s="130"/>
      <c r="K44" s="131"/>
      <c r="L44" s="131"/>
      <c r="M44" s="131"/>
      <c r="N44" s="133"/>
    </row>
    <row r="45" spans="2:14" x14ac:dyDescent="0.25">
      <c r="B45" s="580" t="s">
        <v>214</v>
      </c>
      <c r="C45" s="581"/>
      <c r="D45" s="581"/>
      <c r="E45" s="581"/>
      <c r="F45" s="582"/>
      <c r="J45" s="580" t="s">
        <v>214</v>
      </c>
      <c r="K45" s="581"/>
      <c r="L45" s="581"/>
      <c r="M45" s="581"/>
      <c r="N45" s="582"/>
    </row>
    <row r="46" spans="2:14" x14ac:dyDescent="0.25">
      <c r="B46" s="114" t="s">
        <v>189</v>
      </c>
      <c r="F46" s="115"/>
      <c r="J46" s="114" t="s">
        <v>189</v>
      </c>
      <c r="N46" s="115"/>
    </row>
    <row r="47" spans="2:14" x14ac:dyDescent="0.25">
      <c r="B47" s="114"/>
      <c r="F47" s="115"/>
      <c r="J47" s="114"/>
      <c r="N47" s="115"/>
    </row>
    <row r="48" spans="2:14" x14ac:dyDescent="0.25">
      <c r="B48" s="114"/>
      <c r="F48" s="115"/>
      <c r="J48" s="114"/>
      <c r="N48" s="115"/>
    </row>
    <row r="49" spans="2:14" x14ac:dyDescent="0.25">
      <c r="B49" s="114" t="s">
        <v>190</v>
      </c>
      <c r="F49" s="115"/>
      <c r="J49" s="114" t="s">
        <v>190</v>
      </c>
      <c r="N49" s="115"/>
    </row>
    <row r="50" spans="2:14" x14ac:dyDescent="0.25">
      <c r="B50" s="134" t="s">
        <v>221</v>
      </c>
      <c r="C50" s="135"/>
      <c r="D50" s="135"/>
      <c r="E50" s="135"/>
      <c r="F50" s="136"/>
      <c r="J50" s="134" t="s">
        <v>221</v>
      </c>
      <c r="K50" s="135"/>
      <c r="L50" s="135"/>
      <c r="M50" s="135"/>
      <c r="N50" s="136"/>
    </row>
    <row r="51" spans="2:14" x14ac:dyDescent="0.25">
      <c r="B51" s="137" t="s">
        <v>230</v>
      </c>
      <c r="C51" s="138"/>
      <c r="D51" s="138"/>
      <c r="E51" s="138"/>
      <c r="F51" s="115"/>
      <c r="J51" s="137" t="s">
        <v>230</v>
      </c>
      <c r="K51" s="138"/>
      <c r="L51" s="138"/>
      <c r="M51" s="138"/>
      <c r="N51" s="115"/>
    </row>
    <row r="52" spans="2:14" x14ac:dyDescent="0.25">
      <c r="B52" s="139"/>
      <c r="C52" s="140" t="s">
        <v>218</v>
      </c>
      <c r="D52" s="141">
        <f>'Ukuran Utama Kapal'!E141/'Ukuran Utama Kapal'!E138</f>
        <v>0.28384897875607357</v>
      </c>
      <c r="E52" s="142"/>
      <c r="F52" s="143"/>
      <c r="J52" s="139"/>
      <c r="K52" s="140" t="s">
        <v>218</v>
      </c>
      <c r="L52" s="141">
        <f>'Ukuran Utama Kapal'!T152/'Ukuran Utama Kapal'!T138</f>
        <v>8.5165683907505063E-2</v>
      </c>
      <c r="M52" s="142"/>
      <c r="N52" s="143"/>
    </row>
    <row r="53" spans="2:14" x14ac:dyDescent="0.25">
      <c r="B53" s="114"/>
      <c r="C53" s="140" t="s">
        <v>220</v>
      </c>
      <c r="D53" s="141">
        <f>1/2*27</f>
        <v>13.5</v>
      </c>
      <c r="E53" s="110" t="s">
        <v>219</v>
      </c>
      <c r="F53" s="115"/>
      <c r="J53" s="114"/>
      <c r="K53" s="140" t="s">
        <v>220</v>
      </c>
      <c r="L53" s="141">
        <f>1/2*27</f>
        <v>13.5</v>
      </c>
      <c r="M53" s="110" t="s">
        <v>219</v>
      </c>
      <c r="N53" s="115"/>
    </row>
    <row r="54" spans="2:14" x14ac:dyDescent="0.25">
      <c r="B54" s="144" t="s">
        <v>221</v>
      </c>
      <c r="C54" s="145">
        <f>2223105*((0.5-(0.0625*D52))^3.7861)*(('Ukuran Utama Kapal'!E143/'Ukuran Utama Kapal'!E141)^1.0769)*(0.01745329252*(90-D53)^(-1.3757))</f>
        <v>1.0391926798842115</v>
      </c>
      <c r="D54" s="146"/>
      <c r="E54" s="146"/>
      <c r="F54" s="147"/>
      <c r="J54" s="144" t="s">
        <v>221</v>
      </c>
      <c r="K54" s="145">
        <f>2223105*((0.2296*(L52^0.333)))*(('Ukuran Utama Kapal'!T143/'Ukuran Utama Kapal'!T152)^1.0796)*(0.01745329252*(90-D53)^(-1.3757))</f>
        <v>18.153025929633401</v>
      </c>
      <c r="L54" s="146"/>
      <c r="M54" s="146"/>
      <c r="N54" s="147"/>
    </row>
    <row r="55" spans="2:14" x14ac:dyDescent="0.25">
      <c r="B55" s="148" t="s">
        <v>222</v>
      </c>
      <c r="C55" s="149">
        <v>1E-3</v>
      </c>
      <c r="D55" s="149" t="s">
        <v>223</v>
      </c>
      <c r="E55" s="149"/>
      <c r="F55" s="150"/>
      <c r="J55" s="148" t="s">
        <v>222</v>
      </c>
      <c r="K55" s="149">
        <v>1E-3</v>
      </c>
      <c r="L55" s="149" t="s">
        <v>223</v>
      </c>
      <c r="M55" s="149"/>
      <c r="N55" s="150"/>
    </row>
    <row r="56" spans="2:14" x14ac:dyDescent="0.25">
      <c r="B56" s="148" t="s">
        <v>224</v>
      </c>
      <c r="C56" s="149">
        <v>1E-3</v>
      </c>
      <c r="D56" s="149" t="s">
        <v>225</v>
      </c>
      <c r="E56" s="149"/>
      <c r="F56" s="150"/>
      <c r="J56" s="148" t="s">
        <v>224</v>
      </c>
      <c r="K56" s="149">
        <v>1E-3</v>
      </c>
      <c r="L56" s="149" t="s">
        <v>225</v>
      </c>
      <c r="M56" s="149"/>
      <c r="N56" s="150"/>
    </row>
    <row r="57" spans="2:14" x14ac:dyDescent="0.25">
      <c r="B57" s="151" t="s">
        <v>226</v>
      </c>
      <c r="C57" s="149">
        <v>2.7182818000000002</v>
      </c>
      <c r="D57" s="149"/>
      <c r="E57" s="149"/>
      <c r="F57" s="150"/>
      <c r="J57" s="151" t="s">
        <v>226</v>
      </c>
      <c r="K57" s="149">
        <v>2.7182818000000002</v>
      </c>
      <c r="L57" s="149"/>
      <c r="M57" s="149"/>
      <c r="N57" s="150"/>
    </row>
    <row r="58" spans="2:14" x14ac:dyDescent="0.25">
      <c r="B58" s="151" t="s">
        <v>227</v>
      </c>
      <c r="C58" s="149">
        <f>'Ukuran Utama Kapal'!E148</f>
        <v>0.33400000000000002</v>
      </c>
      <c r="D58" s="149"/>
      <c r="E58" s="149"/>
      <c r="F58" s="150"/>
      <c r="J58" s="151" t="s">
        <v>227</v>
      </c>
      <c r="K58" s="149">
        <f>'Ukuran Utama Kapal'!T149</f>
        <v>0.35799999999999998</v>
      </c>
      <c r="L58" s="149"/>
      <c r="M58" s="149"/>
      <c r="N58" s="150"/>
    </row>
    <row r="59" spans="2:14" x14ac:dyDescent="0.25">
      <c r="B59" s="151" t="s">
        <v>228</v>
      </c>
      <c r="C59" s="152">
        <v>-0.9</v>
      </c>
      <c r="D59" s="149"/>
      <c r="E59" s="149"/>
      <c r="F59" s="150"/>
      <c r="J59" s="151" t="s">
        <v>228</v>
      </c>
      <c r="K59" s="152">
        <v>-0.9</v>
      </c>
      <c r="L59" s="149"/>
      <c r="M59" s="149"/>
      <c r="N59" s="150"/>
    </row>
    <row r="60" spans="2:14" x14ac:dyDescent="0.25">
      <c r="B60" s="134" t="s">
        <v>229</v>
      </c>
      <c r="C60" s="135"/>
      <c r="D60" s="135"/>
      <c r="E60" s="135"/>
      <c r="F60" s="136"/>
      <c r="J60" s="134" t="s">
        <v>229</v>
      </c>
      <c r="K60" s="135"/>
      <c r="L60" s="135"/>
      <c r="M60" s="135"/>
      <c r="N60" s="136"/>
    </row>
    <row r="61" spans="2:14" x14ac:dyDescent="0.25">
      <c r="B61" s="137" t="s">
        <v>231</v>
      </c>
      <c r="C61" s="138"/>
      <c r="D61" s="138"/>
      <c r="E61" s="138"/>
      <c r="F61" s="115"/>
      <c r="J61" s="137" t="s">
        <v>231</v>
      </c>
      <c r="K61" s="138"/>
      <c r="L61" s="138"/>
      <c r="M61" s="138"/>
      <c r="N61" s="115"/>
    </row>
    <row r="62" spans="2:14" x14ac:dyDescent="0.25">
      <c r="B62" s="139"/>
      <c r="C62" s="140" t="s">
        <v>243</v>
      </c>
      <c r="D62" s="141">
        <f>('Ukuran Utama Kapal'!E138^2)/'Hydrostatics (Maxsurf)'!C8</f>
        <v>4.2322389556926652</v>
      </c>
      <c r="E62" s="142"/>
      <c r="F62" s="143"/>
      <c r="J62" s="139"/>
      <c r="K62" s="140" t="s">
        <v>243</v>
      </c>
      <c r="L62" s="141">
        <f>('Ukuran Utama Kapal'!T138)/('Hydrostatics (Maxsurf)'!D8/2)</f>
        <v>0.27815607896330441</v>
      </c>
      <c r="M62" s="142"/>
      <c r="N62" s="143"/>
    </row>
    <row r="63" spans="2:14" x14ac:dyDescent="0.25">
      <c r="B63" s="139" t="s">
        <v>229</v>
      </c>
      <c r="C63" s="153">
        <f>-1.69385*0.4*(C57^(-0.034*(C58^(-3.29))))</f>
        <v>-0.19331255361537303</v>
      </c>
      <c r="F63" s="115"/>
      <c r="J63" s="139" t="s">
        <v>229</v>
      </c>
      <c r="K63" s="153">
        <f>-1.69385*0.4*(K57^(-0.034*(K58^(-3.29))))</f>
        <v>-0.2497100223766669</v>
      </c>
      <c r="N63" s="115"/>
    </row>
    <row r="64" spans="2:14" x14ac:dyDescent="0.25">
      <c r="B64" s="134" t="s">
        <v>232</v>
      </c>
      <c r="C64" s="154"/>
      <c r="D64" s="154"/>
      <c r="E64" s="154"/>
      <c r="F64" s="136"/>
      <c r="J64" s="134" t="s">
        <v>232</v>
      </c>
      <c r="K64" s="154"/>
      <c r="L64" s="154"/>
      <c r="M64" s="154"/>
      <c r="N64" s="136"/>
    </row>
    <row r="65" spans="2:16" x14ac:dyDescent="0.25">
      <c r="B65" s="114"/>
      <c r="C65" s="140" t="s">
        <v>233</v>
      </c>
      <c r="D65" s="141">
        <f>'Ukuran Utama Kapal'!E138/'Ukuran Utama Kapal'!E141</f>
        <v>3.523000168548617</v>
      </c>
      <c r="F65" s="115"/>
      <c r="J65" s="114"/>
      <c r="K65" s="140" t="s">
        <v>233</v>
      </c>
      <c r="L65" s="141">
        <f>'Ukuran Utama Kapal'!T138/'Ukuran Utama Kapal'!T152</f>
        <v>11.741818466297513</v>
      </c>
      <c r="N65" s="115"/>
    </row>
    <row r="66" spans="2:16" x14ac:dyDescent="0.25">
      <c r="B66" s="139" t="s">
        <v>232</v>
      </c>
      <c r="C66" s="110">
        <f>(1.446*'Hydrostatics (Maxsurf)'!C16)-(0.03*D65)</f>
        <v>0.9657959949435414</v>
      </c>
      <c r="F66" s="115"/>
      <c r="J66" s="139" t="s">
        <v>232</v>
      </c>
      <c r="K66" s="110">
        <f>(1.446*'Hydrostatics (Maxsurf)'!D16)-(0.03*L65)</f>
        <v>0.62813344601107468</v>
      </c>
      <c r="N66" s="115"/>
    </row>
    <row r="67" spans="2:16" x14ac:dyDescent="0.25">
      <c r="B67" s="134" t="s">
        <v>234</v>
      </c>
      <c r="C67" s="135"/>
      <c r="D67" s="135"/>
      <c r="E67" s="135"/>
      <c r="F67" s="136"/>
      <c r="G67" s="110" t="s">
        <v>237</v>
      </c>
      <c r="H67" s="155">
        <f>'Ukuran Utama Kapal'!E139</f>
        <v>27.143999999999998</v>
      </c>
      <c r="J67" s="134" t="s">
        <v>234</v>
      </c>
      <c r="K67" s="135"/>
      <c r="L67" s="135"/>
      <c r="M67" s="135"/>
      <c r="N67" s="136"/>
      <c r="O67" s="110" t="s">
        <v>237</v>
      </c>
      <c r="P67" s="155">
        <f>'Ukuran Utama Kapal'!T139</f>
        <v>23.675000000000001</v>
      </c>
    </row>
    <row r="68" spans="2:16" x14ac:dyDescent="0.25">
      <c r="B68" s="139"/>
      <c r="C68" s="156"/>
      <c r="D68" s="156"/>
      <c r="E68" s="156"/>
      <c r="F68" s="115"/>
      <c r="G68" s="157" t="s">
        <v>95</v>
      </c>
      <c r="H68" s="155">
        <f>'Hydrostatics (Maxsurf)'!C8</f>
        <v>168.02600000000001</v>
      </c>
      <c r="J68" s="139"/>
      <c r="K68" s="156"/>
      <c r="L68" s="156"/>
      <c r="M68" s="156"/>
      <c r="N68" s="115"/>
      <c r="O68" s="157" t="s">
        <v>95</v>
      </c>
      <c r="P68" s="155">
        <f>'Hydrostatics (Maxsurf)'!D8/2</f>
        <v>84.007499999999993</v>
      </c>
    </row>
    <row r="69" spans="2:16" x14ac:dyDescent="0.25">
      <c r="B69" s="137" t="s">
        <v>235</v>
      </c>
      <c r="C69" s="138"/>
      <c r="D69" s="138"/>
      <c r="E69" s="138"/>
      <c r="F69" s="115"/>
      <c r="G69" s="110" t="s">
        <v>76</v>
      </c>
      <c r="H69" s="155">
        <f>'Ukuran Utama Kapal'!E143</f>
        <v>1.4230506759623736</v>
      </c>
      <c r="J69" s="137" t="s">
        <v>235</v>
      </c>
      <c r="K69" s="138"/>
      <c r="L69" s="138"/>
      <c r="M69" s="138"/>
      <c r="N69" s="115"/>
      <c r="O69" s="110" t="s">
        <v>76</v>
      </c>
      <c r="P69" s="155">
        <f>'Ukuran Utama Kapal'!T143</f>
        <v>3.4407897210905665</v>
      </c>
    </row>
    <row r="70" spans="2:16" x14ac:dyDescent="0.25">
      <c r="B70" s="139"/>
      <c r="C70" s="140" t="s">
        <v>236</v>
      </c>
      <c r="D70" s="141">
        <f>(8.0798*'Hydrostatics (Maxsurf)'!C16)-(13.8673*('Hydrostatics (Maxsurf)'!C16^2))-(6.9844*('Hydrostatics (Maxsurf)'!C16^3))</f>
        <v>-4.4688751415724006</v>
      </c>
      <c r="E70" s="142"/>
      <c r="F70" s="143"/>
      <c r="G70" s="110" t="s">
        <v>72</v>
      </c>
      <c r="H70" s="155">
        <f>'Ukuran Utama Kapal'!E141</f>
        <v>7.5693863136387147</v>
      </c>
      <c r="J70" s="139"/>
      <c r="K70" s="140" t="s">
        <v>236</v>
      </c>
      <c r="L70" s="141">
        <f>(8.0798*'Hydrostatics (Maxsurf)'!D16)-(13.8673*('Hydrostatics (Maxsurf)'!D16^2))-(6.9844*('Hydrostatics (Maxsurf)'!D16^3))</f>
        <v>-3.0732698114688013</v>
      </c>
      <c r="M70" s="142"/>
      <c r="N70" s="143"/>
      <c r="O70" s="110" t="s">
        <v>72</v>
      </c>
      <c r="P70" s="155">
        <f>'Ukuran Utama Kapal'!T152</f>
        <v>1.9900832967721778</v>
      </c>
    </row>
    <row r="71" spans="2:16" ht="15.75" thickBot="1" x14ac:dyDescent="0.3">
      <c r="B71" s="158" t="s">
        <v>234</v>
      </c>
      <c r="C71" s="159">
        <f>(0.01404*H67/H69)-(1.7525*((H68^(1/3))/H67))-(4.7932*H70/H67)-D70</f>
        <v>3.043780104132761</v>
      </c>
      <c r="D71" s="131"/>
      <c r="E71" s="131"/>
      <c r="F71" s="133"/>
      <c r="J71" s="158" t="s">
        <v>234</v>
      </c>
      <c r="K71" s="159">
        <f>(0.01404*P67/P69)-(1.7525*((P68^(1/3))/P67))-(4.7932*P70/P67)-L70</f>
        <v>2.4427700026740871</v>
      </c>
      <c r="L71" s="131"/>
      <c r="M71" s="131"/>
      <c r="N71" s="133"/>
    </row>
  </sheetData>
  <mergeCells count="46">
    <mergeCell ref="B45:F45"/>
    <mergeCell ref="B3:F3"/>
    <mergeCell ref="B42:F42"/>
    <mergeCell ref="C24:C25"/>
    <mergeCell ref="D24:E24"/>
    <mergeCell ref="C26:C27"/>
    <mergeCell ref="D26:E26"/>
    <mergeCell ref="D12:E12"/>
    <mergeCell ref="C12:C13"/>
    <mergeCell ref="C14:C15"/>
    <mergeCell ref="D14:E14"/>
    <mergeCell ref="C16:C17"/>
    <mergeCell ref="D16:E16"/>
    <mergeCell ref="C18:C19"/>
    <mergeCell ref="D18:E18"/>
    <mergeCell ref="C39:C40"/>
    <mergeCell ref="D39:E39"/>
    <mergeCell ref="B36:F36"/>
    <mergeCell ref="C20:C21"/>
    <mergeCell ref="D20:E20"/>
    <mergeCell ref="C22:C23"/>
    <mergeCell ref="D22:E22"/>
    <mergeCell ref="J42:N42"/>
    <mergeCell ref="J45:N45"/>
    <mergeCell ref="K22:K23"/>
    <mergeCell ref="L22:M22"/>
    <mergeCell ref="K24:K25"/>
    <mergeCell ref="L24:M24"/>
    <mergeCell ref="K26:K27"/>
    <mergeCell ref="L26:M26"/>
    <mergeCell ref="B2:N2"/>
    <mergeCell ref="K9:N10"/>
    <mergeCell ref="J36:N36"/>
    <mergeCell ref="K39:K40"/>
    <mergeCell ref="L39:M39"/>
    <mergeCell ref="K16:K17"/>
    <mergeCell ref="L16:M16"/>
    <mergeCell ref="K18:K19"/>
    <mergeCell ref="L18:M18"/>
    <mergeCell ref="K20:K21"/>
    <mergeCell ref="L20:M20"/>
    <mergeCell ref="J3:N3"/>
    <mergeCell ref="K12:K13"/>
    <mergeCell ref="L12:M12"/>
    <mergeCell ref="K14:K15"/>
    <mergeCell ref="L14:M1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B6602-1873-4B88-AFA4-0AB4DB443C7F}">
  <dimension ref="A1:AL105"/>
  <sheetViews>
    <sheetView zoomScale="115" zoomScaleNormal="115" workbookViewId="0">
      <selection activeCell="Y98" sqref="Y98:Z98"/>
    </sheetView>
  </sheetViews>
  <sheetFormatPr defaultRowHeight="15" x14ac:dyDescent="0.25"/>
  <cols>
    <col min="2" max="2" width="18.7109375" bestFit="1" customWidth="1"/>
    <col min="3" max="3" width="8.7109375" customWidth="1"/>
    <col min="4" max="4" width="4.140625" bestFit="1" customWidth="1"/>
    <col min="5" max="5" width="8.140625" customWidth="1"/>
    <col min="6" max="6" width="8.42578125" bestFit="1" customWidth="1"/>
    <col min="7" max="7" width="9" customWidth="1"/>
    <col min="8" max="8" width="4.5703125" bestFit="1" customWidth="1"/>
    <col min="9" max="9" width="8.140625" customWidth="1"/>
    <col min="10" max="10" width="3.28515625" bestFit="1" customWidth="1"/>
    <col min="11" max="11" width="8.140625" customWidth="1"/>
    <col min="12" max="12" width="8.42578125" bestFit="1" customWidth="1"/>
    <col min="13" max="13" width="9" customWidth="1"/>
    <col min="14" max="14" width="4.5703125" bestFit="1" customWidth="1"/>
    <col min="16" max="16" width="4.42578125" customWidth="1"/>
    <col min="17" max="17" width="7.28515625" bestFit="1" customWidth="1"/>
    <col min="18" max="18" width="10" customWidth="1"/>
    <col min="19" max="19" width="13.42578125" customWidth="1"/>
    <col min="20" max="20" width="4.42578125" customWidth="1"/>
    <col min="21" max="21" width="4.7109375" customWidth="1"/>
    <col min="22" max="22" width="4.7109375" style="221" customWidth="1"/>
    <col min="23" max="23" width="4.42578125" customWidth="1"/>
    <col min="24" max="24" width="7.28515625" bestFit="1" customWidth="1"/>
    <col min="25" max="25" width="10" customWidth="1"/>
    <col min="26" max="26" width="13.42578125" customWidth="1"/>
    <col min="27" max="27" width="4.42578125" customWidth="1"/>
    <col min="29" max="29" width="3.85546875" customWidth="1"/>
    <col min="30" max="30" width="28.7109375" bestFit="1" customWidth="1"/>
    <col min="31" max="31" width="2" style="403" bestFit="1" customWidth="1"/>
    <col min="32" max="32" width="6.7109375" bestFit="1" customWidth="1"/>
    <col min="33" max="33" width="7.5703125" bestFit="1" customWidth="1"/>
    <col min="34" max="34" width="3.85546875" customWidth="1"/>
    <col min="35" max="35" width="28.7109375" bestFit="1" customWidth="1"/>
    <col min="36" max="36" width="2" bestFit="1" customWidth="1"/>
    <col min="37" max="37" width="6.7109375" bestFit="1" customWidth="1"/>
    <col min="38" max="38" width="7.5703125" bestFit="1" customWidth="1"/>
  </cols>
  <sheetData>
    <row r="1" spans="1:38" ht="15.75" thickBot="1" x14ac:dyDescent="0.3"/>
    <row r="2" spans="1:38" ht="15.75" thickBot="1" x14ac:dyDescent="0.3">
      <c r="B2" s="595" t="s">
        <v>244</v>
      </c>
      <c r="C2" s="596"/>
      <c r="D2" s="596"/>
      <c r="E2" s="596"/>
      <c r="F2" s="596"/>
      <c r="G2" s="596"/>
      <c r="H2" s="596"/>
      <c r="I2" s="596"/>
      <c r="J2" s="596"/>
      <c r="K2" s="596"/>
      <c r="L2" s="596"/>
      <c r="M2" s="596"/>
      <c r="N2" s="597"/>
      <c r="P2" s="606" t="s">
        <v>15</v>
      </c>
      <c r="Q2" s="607"/>
      <c r="R2" s="607"/>
      <c r="S2" s="607"/>
      <c r="T2" s="608"/>
      <c r="U2" s="220"/>
      <c r="W2" s="606" t="s">
        <v>16</v>
      </c>
      <c r="X2" s="607"/>
      <c r="Y2" s="607"/>
      <c r="Z2" s="607"/>
      <c r="AA2" s="608"/>
    </row>
    <row r="3" spans="1:38" x14ac:dyDescent="0.25">
      <c r="B3" s="196"/>
      <c r="C3" s="528" t="s">
        <v>155</v>
      </c>
      <c r="D3" s="529"/>
      <c r="E3" s="529"/>
      <c r="F3" s="529"/>
      <c r="G3" s="529"/>
      <c r="H3" s="530"/>
      <c r="I3" s="528" t="s">
        <v>155</v>
      </c>
      <c r="J3" s="529"/>
      <c r="K3" s="529"/>
      <c r="L3" s="529"/>
      <c r="M3" s="529"/>
      <c r="N3" s="530"/>
      <c r="P3" s="82">
        <v>1</v>
      </c>
      <c r="Q3" s="598" t="s">
        <v>247</v>
      </c>
      <c r="R3" s="598"/>
      <c r="S3" s="598"/>
      <c r="T3" s="165"/>
      <c r="W3" s="82">
        <v>1</v>
      </c>
      <c r="X3" s="598" t="s">
        <v>247</v>
      </c>
      <c r="Y3" s="598"/>
      <c r="Z3" s="598"/>
      <c r="AA3" s="165"/>
    </row>
    <row r="4" spans="1:38" s="198" customFormat="1" ht="31.9" customHeight="1" thickBot="1" x14ac:dyDescent="0.3">
      <c r="B4" s="197" t="s">
        <v>245</v>
      </c>
      <c r="C4" s="599" t="s">
        <v>246</v>
      </c>
      <c r="D4" s="600"/>
      <c r="E4" s="601" t="s">
        <v>107</v>
      </c>
      <c r="F4" s="600"/>
      <c r="G4" s="593" t="s">
        <v>299</v>
      </c>
      <c r="H4" s="594"/>
      <c r="I4" s="602" t="s">
        <v>246</v>
      </c>
      <c r="J4" s="603"/>
      <c r="K4" s="603" t="s">
        <v>107</v>
      </c>
      <c r="L4" s="603"/>
      <c r="M4" s="593" t="s">
        <v>299</v>
      </c>
      <c r="N4" s="594"/>
      <c r="P4" s="199"/>
      <c r="T4" s="200"/>
      <c r="V4" s="222"/>
      <c r="W4" s="199"/>
      <c r="AA4" s="200"/>
      <c r="AE4" s="404"/>
    </row>
    <row r="5" spans="1:38" ht="15.75" thickBot="1" x14ac:dyDescent="0.3">
      <c r="A5">
        <v>1</v>
      </c>
      <c r="B5" s="162" t="s">
        <v>247</v>
      </c>
      <c r="C5" s="178">
        <f>R18+(1/6*C22)</f>
        <v>40.859771245283042</v>
      </c>
      <c r="D5" s="179" t="s">
        <v>267</v>
      </c>
      <c r="E5" s="182">
        <v>0.94399999999999995</v>
      </c>
      <c r="F5" s="160" t="s">
        <v>274</v>
      </c>
      <c r="G5" s="187">
        <f>R17/E5</f>
        <v>4.2987045810681183E-2</v>
      </c>
      <c r="H5" s="185" t="s">
        <v>111</v>
      </c>
      <c r="I5" s="195">
        <f>Y18</f>
        <v>40.579771245283041</v>
      </c>
      <c r="J5" s="179" t="s">
        <v>267</v>
      </c>
      <c r="K5" s="182">
        <v>0.94</v>
      </c>
      <c r="L5" s="160" t="s">
        <v>274</v>
      </c>
      <c r="M5" s="187">
        <f>Y17/K5</f>
        <v>4.3169969409875573E-2</v>
      </c>
      <c r="N5" s="185" t="s">
        <v>111</v>
      </c>
      <c r="P5" s="83"/>
      <c r="T5" s="91"/>
      <c r="W5" s="83"/>
      <c r="AA5" s="91"/>
      <c r="AC5" s="615" t="s">
        <v>563</v>
      </c>
      <c r="AD5" s="616"/>
      <c r="AE5" s="616"/>
      <c r="AF5" s="616"/>
      <c r="AG5" s="616"/>
      <c r="AH5" s="617"/>
      <c r="AI5" s="617"/>
      <c r="AJ5" s="617"/>
      <c r="AK5" s="617"/>
      <c r="AL5" s="618"/>
    </row>
    <row r="6" spans="1:38" x14ac:dyDescent="0.25">
      <c r="A6">
        <v>2</v>
      </c>
      <c r="B6" s="162" t="s">
        <v>248</v>
      </c>
      <c r="C6" s="178">
        <f>R35+(1/6*C22)</f>
        <v>0.84360793396226441</v>
      </c>
      <c r="D6" s="179" t="s">
        <v>267</v>
      </c>
      <c r="E6" s="182">
        <v>0.92</v>
      </c>
      <c r="F6" s="160" t="s">
        <v>274</v>
      </c>
      <c r="G6" s="187">
        <f>R34/E6</f>
        <v>6.1261731952420037E-4</v>
      </c>
      <c r="H6" s="185" t="s">
        <v>111</v>
      </c>
      <c r="I6" s="195">
        <f>Y35</f>
        <v>0.56360793396226438</v>
      </c>
      <c r="J6" s="179" t="s">
        <v>267</v>
      </c>
      <c r="K6" s="182">
        <v>0.92</v>
      </c>
      <c r="L6" s="160" t="s">
        <v>274</v>
      </c>
      <c r="M6" s="187">
        <f>Y34/K6</f>
        <v>6.1261731952420037E-4</v>
      </c>
      <c r="N6" s="185" t="s">
        <v>111</v>
      </c>
      <c r="P6" s="83"/>
      <c r="T6" s="91"/>
      <c r="W6" s="83"/>
      <c r="AA6" s="91"/>
      <c r="AC6" s="612" t="s">
        <v>15</v>
      </c>
      <c r="AD6" s="613"/>
      <c r="AE6" s="613"/>
      <c r="AF6" s="613"/>
      <c r="AG6" s="614"/>
      <c r="AH6" s="612" t="s">
        <v>16</v>
      </c>
      <c r="AI6" s="613"/>
      <c r="AJ6" s="613"/>
      <c r="AK6" s="613"/>
      <c r="AL6" s="614"/>
    </row>
    <row r="7" spans="1:38" x14ac:dyDescent="0.25">
      <c r="A7">
        <v>3</v>
      </c>
      <c r="B7" s="162" t="s">
        <v>249</v>
      </c>
      <c r="C7" s="195">
        <f>R69+R52+(1/6*C22)</f>
        <v>536.50356264150957</v>
      </c>
      <c r="D7" s="179" t="s">
        <v>267</v>
      </c>
      <c r="E7" s="183">
        <v>1</v>
      </c>
      <c r="F7" s="160" t="s">
        <v>274</v>
      </c>
      <c r="G7" s="183">
        <f>C7*E7</f>
        <v>536.50356264150957</v>
      </c>
      <c r="H7" s="185" t="s">
        <v>111</v>
      </c>
      <c r="I7" s="195">
        <f>Y52+Y69</f>
        <v>524.95140396226429</v>
      </c>
      <c r="J7" s="179" t="s">
        <v>267</v>
      </c>
      <c r="K7" s="183">
        <v>1</v>
      </c>
      <c r="L7" s="160" t="s">
        <v>274</v>
      </c>
      <c r="M7" s="183">
        <f>I7*K7</f>
        <v>524.95140396226429</v>
      </c>
      <c r="N7" s="185" t="s">
        <v>111</v>
      </c>
      <c r="P7" s="83"/>
      <c r="Q7" s="591" t="s">
        <v>275</v>
      </c>
      <c r="R7" s="592" t="s">
        <v>276</v>
      </c>
      <c r="S7" s="592"/>
      <c r="T7" s="91"/>
      <c r="W7" s="83"/>
      <c r="X7" s="591" t="s">
        <v>275</v>
      </c>
      <c r="Y7" s="592" t="s">
        <v>276</v>
      </c>
      <c r="Z7" s="592"/>
      <c r="AA7" s="91"/>
      <c r="AC7" s="609" t="s">
        <v>546</v>
      </c>
      <c r="AD7" s="610"/>
      <c r="AE7" s="610"/>
      <c r="AF7" s="610"/>
      <c r="AG7" s="611"/>
      <c r="AH7" s="609" t="s">
        <v>546</v>
      </c>
      <c r="AI7" s="610"/>
      <c r="AJ7" s="610"/>
      <c r="AK7" s="610"/>
      <c r="AL7" s="611"/>
    </row>
    <row r="8" spans="1:38" x14ac:dyDescent="0.25">
      <c r="A8">
        <v>4</v>
      </c>
      <c r="B8" s="162" t="s">
        <v>250</v>
      </c>
      <c r="C8" s="178">
        <f>R77+(1/6*C22)</f>
        <v>11000.28</v>
      </c>
      <c r="D8" s="179" t="s">
        <v>267</v>
      </c>
      <c r="E8" s="183"/>
      <c r="F8" s="160"/>
      <c r="G8" s="183"/>
      <c r="H8" s="185"/>
      <c r="I8" s="178">
        <f>Y77</f>
        <v>11000</v>
      </c>
      <c r="J8" s="179" t="s">
        <v>267</v>
      </c>
      <c r="K8" s="183"/>
      <c r="L8" s="160"/>
      <c r="M8" s="183"/>
      <c r="N8" s="185"/>
      <c r="P8" s="83"/>
      <c r="Q8" s="591"/>
      <c r="R8" s="109">
        <v>10.8</v>
      </c>
      <c r="S8" s="109" t="s">
        <v>281</v>
      </c>
      <c r="T8" s="91"/>
      <c r="W8" s="83"/>
      <c r="X8" s="591"/>
      <c r="Y8" s="109">
        <v>10.8</v>
      </c>
      <c r="Z8" s="109" t="s">
        <v>281</v>
      </c>
      <c r="AA8" s="91"/>
      <c r="AC8" s="413"/>
      <c r="AD8" s="406" t="s">
        <v>569</v>
      </c>
      <c r="AE8" s="407" t="s">
        <v>102</v>
      </c>
      <c r="AF8" s="408">
        <f>'Resistance (maxsurf)'!D140</f>
        <v>115.00005997389231</v>
      </c>
      <c r="AG8" s="414" t="s">
        <v>551</v>
      </c>
      <c r="AH8" s="413"/>
      <c r="AI8" s="406" t="s">
        <v>569</v>
      </c>
      <c r="AJ8" s="407" t="s">
        <v>102</v>
      </c>
      <c r="AK8" s="408">
        <f>'Resistance (maxsurf)'!G140</f>
        <v>122.16344887051613</v>
      </c>
      <c r="AL8" s="414" t="s">
        <v>551</v>
      </c>
    </row>
    <row r="9" spans="1:38" x14ac:dyDescent="0.25">
      <c r="A9">
        <v>5</v>
      </c>
      <c r="B9" s="162" t="s">
        <v>340</v>
      </c>
      <c r="C9" s="178">
        <f>R86+(1/6*C22)</f>
        <v>5500.28</v>
      </c>
      <c r="D9" s="179" t="s">
        <v>267</v>
      </c>
      <c r="E9" s="183"/>
      <c r="F9" s="160"/>
      <c r="G9" s="183"/>
      <c r="H9" s="185"/>
      <c r="I9" s="178">
        <f>Y86</f>
        <v>5500</v>
      </c>
      <c r="J9" s="179" t="s">
        <v>267</v>
      </c>
      <c r="K9" s="183"/>
      <c r="L9" s="160"/>
      <c r="M9" s="183"/>
      <c r="N9" s="185"/>
      <c r="P9" s="83"/>
      <c r="Q9" s="591" t="s">
        <v>277</v>
      </c>
      <c r="R9" s="592" t="s">
        <v>278</v>
      </c>
      <c r="S9" s="592"/>
      <c r="T9" s="91"/>
      <c r="W9" s="83"/>
      <c r="X9" s="591" t="s">
        <v>277</v>
      </c>
      <c r="Y9" s="592" t="s">
        <v>278</v>
      </c>
      <c r="Z9" s="592"/>
      <c r="AA9" s="91"/>
      <c r="AC9" s="413"/>
      <c r="AD9" s="406" t="s">
        <v>547</v>
      </c>
      <c r="AE9" s="407" t="s">
        <v>102</v>
      </c>
      <c r="AF9" s="406">
        <v>2</v>
      </c>
      <c r="AG9" s="414"/>
      <c r="AH9" s="413"/>
      <c r="AI9" s="406" t="s">
        <v>547</v>
      </c>
      <c r="AJ9" s="407" t="s">
        <v>102</v>
      </c>
      <c r="AK9" s="406">
        <v>2</v>
      </c>
      <c r="AL9" s="414"/>
    </row>
    <row r="10" spans="1:38" ht="15.75" thickBot="1" x14ac:dyDescent="0.3">
      <c r="A10">
        <v>6</v>
      </c>
      <c r="B10" s="163" t="s">
        <v>251</v>
      </c>
      <c r="C10" s="262">
        <f>R104+(1/6*C22)</f>
        <v>20.827169811320758</v>
      </c>
      <c r="D10" s="181" t="s">
        <v>267</v>
      </c>
      <c r="E10" s="184"/>
      <c r="F10" s="161"/>
      <c r="G10" s="184"/>
      <c r="H10" s="186"/>
      <c r="I10" s="194">
        <f>Y104</f>
        <v>20.547169811320757</v>
      </c>
      <c r="J10" s="179" t="s">
        <v>267</v>
      </c>
      <c r="K10" s="183"/>
      <c r="L10" s="160"/>
      <c r="M10" s="183"/>
      <c r="N10" s="185"/>
      <c r="P10" s="83"/>
      <c r="Q10" s="591"/>
      <c r="R10" s="109">
        <f>'Resistance (maxsurf)'!G142</f>
        <v>201.15300000000002</v>
      </c>
      <c r="S10" s="109" t="s">
        <v>253</v>
      </c>
      <c r="T10" s="91"/>
      <c r="W10" s="83"/>
      <c r="X10" s="591"/>
      <c r="Y10" s="109">
        <f>R10</f>
        <v>201.15300000000002</v>
      </c>
      <c r="Z10" s="109" t="s">
        <v>253</v>
      </c>
      <c r="AA10" s="91"/>
      <c r="AC10" s="413"/>
      <c r="AD10" s="406" t="s">
        <v>559</v>
      </c>
      <c r="AE10" s="407" t="s">
        <v>102</v>
      </c>
      <c r="AF10" s="406">
        <f>'Resistance (maxsurf)'!H164</f>
        <v>197</v>
      </c>
      <c r="AG10" s="414" t="str">
        <f>'Resistance (maxsurf)'!I164</f>
        <v>g/kw.h</v>
      </c>
      <c r="AH10" s="413"/>
      <c r="AI10" s="406" t="s">
        <v>559</v>
      </c>
      <c r="AJ10" s="407" t="s">
        <v>102</v>
      </c>
      <c r="AK10" s="406">
        <f>AF10</f>
        <v>197</v>
      </c>
      <c r="AL10" s="414" t="str">
        <f>AG10</f>
        <v>g/kw.h</v>
      </c>
    </row>
    <row r="11" spans="1:38" ht="15.75" thickBot="1" x14ac:dyDescent="0.3">
      <c r="C11" s="396"/>
      <c r="D11" s="397"/>
      <c r="E11" s="260"/>
      <c r="F11" s="261"/>
      <c r="G11" s="260"/>
      <c r="H11" s="93"/>
      <c r="I11" s="398"/>
      <c r="J11" s="399"/>
      <c r="K11" s="400"/>
      <c r="L11" s="401"/>
      <c r="M11" s="400"/>
      <c r="N11" s="402"/>
      <c r="P11" s="83"/>
      <c r="Q11" s="202"/>
      <c r="R11" s="109"/>
      <c r="S11" s="109"/>
      <c r="T11" s="91"/>
      <c r="W11" s="83"/>
      <c r="X11" s="202"/>
      <c r="Y11" s="109"/>
      <c r="Z11" s="109"/>
      <c r="AA11" s="91"/>
      <c r="AC11" s="413"/>
      <c r="AD11" s="406"/>
      <c r="AE11" s="407" t="s">
        <v>102</v>
      </c>
      <c r="AF11" s="406">
        <f>AF10/1000</f>
        <v>0.19700000000000001</v>
      </c>
      <c r="AG11" s="414" t="s">
        <v>561</v>
      </c>
      <c r="AH11" s="413"/>
      <c r="AI11" s="406"/>
      <c r="AJ11" s="407" t="s">
        <v>102</v>
      </c>
      <c r="AK11" s="406">
        <f>AF11</f>
        <v>0.19700000000000001</v>
      </c>
      <c r="AL11" s="414" t="str">
        <f>AG11</f>
        <v>kg/kw.h</v>
      </c>
    </row>
    <row r="12" spans="1:38" ht="15.75" thickBot="1" x14ac:dyDescent="0.3">
      <c r="E12" s="260"/>
      <c r="F12" s="261"/>
      <c r="G12" s="260"/>
      <c r="H12" s="93"/>
      <c r="I12" s="180"/>
      <c r="J12" s="181"/>
      <c r="K12" s="184"/>
      <c r="L12" s="161"/>
      <c r="M12" s="184"/>
      <c r="N12" s="186"/>
      <c r="P12" s="83"/>
      <c r="Q12" s="591" t="s">
        <v>198</v>
      </c>
      <c r="R12" s="592" t="s">
        <v>279</v>
      </c>
      <c r="S12" s="592"/>
      <c r="T12" s="91"/>
      <c r="W12" s="83"/>
      <c r="X12" s="591" t="s">
        <v>198</v>
      </c>
      <c r="Y12" s="592" t="s">
        <v>279</v>
      </c>
      <c r="Z12" s="592"/>
      <c r="AA12" s="91"/>
      <c r="AC12" s="413"/>
      <c r="AD12" s="406" t="s">
        <v>548</v>
      </c>
      <c r="AE12" s="407" t="s">
        <v>102</v>
      </c>
      <c r="AF12" s="406">
        <v>1060</v>
      </c>
      <c r="AG12" s="414" t="s">
        <v>267</v>
      </c>
      <c r="AH12" s="413"/>
      <c r="AI12" s="406" t="s">
        <v>548</v>
      </c>
      <c r="AJ12" s="407" t="s">
        <v>102</v>
      </c>
      <c r="AK12" s="406">
        <v>1060</v>
      </c>
      <c r="AL12" s="414" t="s">
        <v>267</v>
      </c>
    </row>
    <row r="13" spans="1:38" ht="15.75" thickBot="1" x14ac:dyDescent="0.3">
      <c r="P13" s="83"/>
      <c r="Q13" s="591"/>
      <c r="R13" s="109">
        <v>0.18</v>
      </c>
      <c r="S13" s="109"/>
      <c r="T13" s="91"/>
      <c r="W13" s="83"/>
      <c r="X13" s="591"/>
      <c r="Y13" s="109">
        <v>0.18</v>
      </c>
      <c r="Z13" s="109"/>
      <c r="AA13" s="91"/>
      <c r="AC13" s="413"/>
      <c r="AD13" s="406" t="s">
        <v>549</v>
      </c>
      <c r="AE13" s="407" t="s">
        <v>102</v>
      </c>
      <c r="AF13" s="406">
        <v>30</v>
      </c>
      <c r="AG13" s="414" t="s">
        <v>550</v>
      </c>
      <c r="AH13" s="413"/>
      <c r="AI13" s="406" t="s">
        <v>549</v>
      </c>
      <c r="AJ13" s="407" t="s">
        <v>102</v>
      </c>
      <c r="AK13" s="406">
        <v>30</v>
      </c>
      <c r="AL13" s="414" t="s">
        <v>550</v>
      </c>
    </row>
    <row r="14" spans="1:38" x14ac:dyDescent="0.25">
      <c r="B14" s="201" t="s">
        <v>339</v>
      </c>
      <c r="C14" s="224">
        <f>SUM(C5:C10)</f>
        <v>17099.594111632076</v>
      </c>
      <c r="D14" s="164" t="s">
        <v>267</v>
      </c>
      <c r="E14" s="165"/>
      <c r="P14" s="83"/>
      <c r="Q14" s="591" t="s">
        <v>206</v>
      </c>
      <c r="R14" s="592" t="s">
        <v>280</v>
      </c>
      <c r="S14" s="592"/>
      <c r="T14" s="91"/>
      <c r="W14" s="83"/>
      <c r="X14" s="591" t="s">
        <v>206</v>
      </c>
      <c r="Y14" s="592" t="s">
        <v>280</v>
      </c>
      <c r="Z14" s="592"/>
      <c r="AA14" s="91"/>
      <c r="AC14" s="413"/>
      <c r="AD14" s="406" t="s">
        <v>552</v>
      </c>
      <c r="AE14" s="407" t="s">
        <v>102</v>
      </c>
      <c r="AF14" s="408">
        <v>10.6</v>
      </c>
      <c r="AG14" s="414" t="s">
        <v>86</v>
      </c>
      <c r="AH14" s="413"/>
      <c r="AI14" s="406" t="s">
        <v>552</v>
      </c>
      <c r="AJ14" s="407" t="s">
        <v>102</v>
      </c>
      <c r="AK14" s="408">
        <v>10.6</v>
      </c>
      <c r="AL14" s="414" t="s">
        <v>86</v>
      </c>
    </row>
    <row r="15" spans="1:38" ht="15.75" thickBot="1" x14ac:dyDescent="0.3">
      <c r="B15" s="166"/>
      <c r="C15" s="258">
        <f>C14/1000</f>
        <v>17.099594111632076</v>
      </c>
      <c r="D15" s="92" t="s">
        <v>92</v>
      </c>
      <c r="E15" s="93"/>
      <c r="P15" s="83"/>
      <c r="Q15" s="591"/>
      <c r="R15" s="106">
        <f>'Ukuran Utama Kapal'!E145</f>
        <v>10.6</v>
      </c>
      <c r="S15" s="109" t="s">
        <v>86</v>
      </c>
      <c r="T15" s="91"/>
      <c r="W15" s="83"/>
      <c r="X15" s="591"/>
      <c r="Y15" s="106">
        <f>R15</f>
        <v>10.6</v>
      </c>
      <c r="Z15" s="109" t="s">
        <v>86</v>
      </c>
      <c r="AA15" s="91"/>
      <c r="AC15" s="413"/>
      <c r="AD15" s="406" t="s">
        <v>553</v>
      </c>
      <c r="AE15" s="407" t="s">
        <v>102</v>
      </c>
      <c r="AF15" s="408">
        <f>AF13/(AF14*1.852)</f>
        <v>1.5281796324218591</v>
      </c>
      <c r="AG15" s="414" t="s">
        <v>554</v>
      </c>
      <c r="AH15" s="413"/>
      <c r="AI15" s="406" t="s">
        <v>553</v>
      </c>
      <c r="AJ15" s="407" t="s">
        <v>102</v>
      </c>
      <c r="AK15" s="408">
        <f>AK13/(AK14*1.852)</f>
        <v>1.5281796324218591</v>
      </c>
      <c r="AL15" s="414" t="s">
        <v>554</v>
      </c>
    </row>
    <row r="16" spans="1:38" ht="15.75" thickBot="1" x14ac:dyDescent="0.3">
      <c r="C16" s="226"/>
      <c r="P16" s="83"/>
      <c r="T16" s="91"/>
      <c r="W16" s="83"/>
      <c r="AA16" s="91"/>
      <c r="AC16" s="415"/>
      <c r="AD16" s="409" t="s">
        <v>555</v>
      </c>
      <c r="AE16" s="410" t="s">
        <v>102</v>
      </c>
      <c r="AF16" s="409">
        <v>1</v>
      </c>
      <c r="AG16" s="416" t="s">
        <v>556</v>
      </c>
      <c r="AH16" s="415"/>
      <c r="AI16" s="409" t="s">
        <v>555</v>
      </c>
      <c r="AJ16" s="410" t="s">
        <v>102</v>
      </c>
      <c r="AK16" s="409">
        <v>1</v>
      </c>
      <c r="AL16" s="416" t="s">
        <v>556</v>
      </c>
    </row>
    <row r="17" spans="2:38" x14ac:dyDescent="0.25">
      <c r="B17" s="201" t="s">
        <v>338</v>
      </c>
      <c r="C17" s="224">
        <f>SUM(I5:I12)</f>
        <v>17086.641952952832</v>
      </c>
      <c r="D17" s="164" t="s">
        <v>267</v>
      </c>
      <c r="E17" s="165"/>
      <c r="P17" s="83"/>
      <c r="Q17" s="167" t="s">
        <v>283</v>
      </c>
      <c r="R17" s="176">
        <f>110%*(R8*R10*R13)/(R15*1000)</f>
        <v>4.0579771245283038E-2</v>
      </c>
      <c r="S17" s="169" t="s">
        <v>92</v>
      </c>
      <c r="T17" s="91"/>
      <c r="W17" s="83"/>
      <c r="X17" s="167" t="s">
        <v>283</v>
      </c>
      <c r="Y17" s="176">
        <f>110%*(Y8*Y10*Y13)/(Y15*1000)</f>
        <v>4.0579771245283038E-2</v>
      </c>
      <c r="Z17" s="169" t="s">
        <v>92</v>
      </c>
      <c r="AA17" s="91"/>
      <c r="AC17" s="609" t="s">
        <v>557</v>
      </c>
      <c r="AD17" s="610"/>
      <c r="AE17" s="610"/>
      <c r="AF17" s="610"/>
      <c r="AG17" s="611"/>
      <c r="AH17" s="609" t="s">
        <v>557</v>
      </c>
      <c r="AI17" s="610"/>
      <c r="AJ17" s="610"/>
      <c r="AK17" s="610"/>
      <c r="AL17" s="611"/>
    </row>
    <row r="18" spans="2:38" ht="15.75" thickBot="1" x14ac:dyDescent="0.3">
      <c r="B18" s="166"/>
      <c r="C18" s="258">
        <f>C17/1000</f>
        <v>17.086641952952832</v>
      </c>
      <c r="D18" s="92" t="s">
        <v>92</v>
      </c>
      <c r="E18" s="93"/>
      <c r="P18" s="83"/>
      <c r="Q18" s="170"/>
      <c r="R18" s="177">
        <f>R17*1000</f>
        <v>40.579771245283041</v>
      </c>
      <c r="S18" s="172" t="s">
        <v>282</v>
      </c>
      <c r="T18" s="91"/>
      <c r="W18" s="83"/>
      <c r="X18" s="170"/>
      <c r="Y18" s="177">
        <f>Y17*1000</f>
        <v>40.579771245283041</v>
      </c>
      <c r="Z18" s="172" t="s">
        <v>282</v>
      </c>
      <c r="AA18" s="91"/>
      <c r="AC18" s="413"/>
      <c r="AD18" s="411" t="s">
        <v>558</v>
      </c>
      <c r="AE18" s="407" t="s">
        <v>102</v>
      </c>
      <c r="AF18" s="406" t="s">
        <v>560</v>
      </c>
      <c r="AG18" s="414"/>
      <c r="AH18" s="413"/>
      <c r="AI18" s="411" t="s">
        <v>558</v>
      </c>
      <c r="AJ18" s="407" t="s">
        <v>102</v>
      </c>
      <c r="AK18" s="406" t="s">
        <v>560</v>
      </c>
      <c r="AL18" s="414"/>
    </row>
    <row r="19" spans="2:38" ht="15.75" thickBot="1" x14ac:dyDescent="0.3">
      <c r="P19" s="166"/>
      <c r="Q19" s="92"/>
      <c r="R19" s="92"/>
      <c r="S19" s="92"/>
      <c r="T19" s="93"/>
      <c r="W19" s="166"/>
      <c r="X19" s="92"/>
      <c r="Y19" s="92"/>
      <c r="Z19" s="92"/>
      <c r="AA19" s="93"/>
      <c r="AC19" s="415"/>
      <c r="AD19" s="409"/>
      <c r="AE19" s="410" t="s">
        <v>102</v>
      </c>
      <c r="AF19" s="412">
        <f>AF11*AF8*AF9</f>
        <v>45.310023629713569</v>
      </c>
      <c r="AG19" s="417" t="s">
        <v>267</v>
      </c>
      <c r="AH19" s="415"/>
      <c r="AI19" s="409"/>
      <c r="AJ19" s="410" t="s">
        <v>102</v>
      </c>
      <c r="AK19" s="412">
        <f>AK11*AK8*AK9</f>
        <v>48.132398854983357</v>
      </c>
      <c r="AL19" s="417" t="s">
        <v>267</v>
      </c>
    </row>
    <row r="20" spans="2:38" ht="15.75" thickBot="1" x14ac:dyDescent="0.3">
      <c r="AC20" s="609" t="s">
        <v>562</v>
      </c>
      <c r="AD20" s="610"/>
      <c r="AE20" s="610"/>
      <c r="AF20" s="610"/>
      <c r="AG20" s="611"/>
      <c r="AH20" s="609" t="s">
        <v>562</v>
      </c>
      <c r="AI20" s="610"/>
      <c r="AJ20" s="610"/>
      <c r="AK20" s="610"/>
      <c r="AL20" s="611"/>
    </row>
    <row r="21" spans="2:38" x14ac:dyDescent="0.25">
      <c r="P21" s="82">
        <v>2</v>
      </c>
      <c r="Q21" s="598" t="s">
        <v>248</v>
      </c>
      <c r="R21" s="598"/>
      <c r="S21" s="598"/>
      <c r="T21" s="165"/>
      <c r="W21" s="82">
        <v>2</v>
      </c>
      <c r="X21" s="598" t="s">
        <v>248</v>
      </c>
      <c r="Y21" s="598"/>
      <c r="Z21" s="598"/>
      <c r="AA21" s="165"/>
      <c r="AC21" s="413"/>
      <c r="AD21" s="406" t="s">
        <v>565</v>
      </c>
      <c r="AE21" s="407" t="s">
        <v>102</v>
      </c>
      <c r="AF21" s="406">
        <f>AF19*AF15</f>
        <v>69.241855255481426</v>
      </c>
      <c r="AG21" s="414" t="s">
        <v>267</v>
      </c>
      <c r="AH21" s="413"/>
      <c r="AI21" s="406" t="s">
        <v>565</v>
      </c>
      <c r="AJ21" s="407" t="s">
        <v>102</v>
      </c>
      <c r="AK21" s="406">
        <f>AK19*AK15</f>
        <v>73.554951589790775</v>
      </c>
      <c r="AL21" s="414" t="s">
        <v>267</v>
      </c>
    </row>
    <row r="22" spans="2:38" ht="15.75" thickBot="1" x14ac:dyDescent="0.3">
      <c r="B22" s="163" t="s">
        <v>336</v>
      </c>
      <c r="C22" s="180">
        <f>1%*'Ukuran Utama Kapal'!E150</f>
        <v>1.68</v>
      </c>
      <c r="D22" s="181" t="s">
        <v>267</v>
      </c>
      <c r="E22" t="s">
        <v>383</v>
      </c>
      <c r="P22" s="83"/>
      <c r="T22" s="91"/>
      <c r="W22" s="83"/>
      <c r="AA22" s="91"/>
      <c r="AC22" s="413"/>
      <c r="AD22" s="406" t="s">
        <v>564</v>
      </c>
      <c r="AE22" s="407" t="s">
        <v>102</v>
      </c>
      <c r="AF22" s="406">
        <f>AF19*AF16</f>
        <v>45.310023629713569</v>
      </c>
      <c r="AG22" s="414" t="s">
        <v>267</v>
      </c>
      <c r="AH22" s="413"/>
      <c r="AI22" s="406" t="s">
        <v>564</v>
      </c>
      <c r="AJ22" s="407" t="s">
        <v>102</v>
      </c>
      <c r="AK22" s="406">
        <f>AK19*AK16</f>
        <v>48.132398854983357</v>
      </c>
      <c r="AL22" s="414" t="s">
        <v>267</v>
      </c>
    </row>
    <row r="23" spans="2:38" x14ac:dyDescent="0.25">
      <c r="C23" t="s">
        <v>382</v>
      </c>
      <c r="P23" s="83"/>
      <c r="T23" s="91"/>
      <c r="W23" s="83"/>
      <c r="AA23" s="91"/>
      <c r="AC23" s="415"/>
      <c r="AD23" s="412" t="s">
        <v>566</v>
      </c>
      <c r="AE23" s="410" t="s">
        <v>102</v>
      </c>
      <c r="AF23" s="412">
        <f>AF21+AF22</f>
        <v>114.55187888519499</v>
      </c>
      <c r="AG23" s="417" t="s">
        <v>267</v>
      </c>
      <c r="AH23" s="415"/>
      <c r="AI23" s="412" t="s">
        <v>566</v>
      </c>
      <c r="AJ23" s="410" t="s">
        <v>102</v>
      </c>
      <c r="AK23" s="412">
        <f>AK21+AK22</f>
        <v>121.68735044477413</v>
      </c>
      <c r="AL23" s="417" t="s">
        <v>267</v>
      </c>
    </row>
    <row r="24" spans="2:38" x14ac:dyDescent="0.25">
      <c r="P24" s="83"/>
      <c r="T24" s="91"/>
      <c r="W24" s="83"/>
      <c r="AA24" s="91"/>
      <c r="AC24" s="609" t="s">
        <v>567</v>
      </c>
      <c r="AD24" s="610"/>
      <c r="AE24" s="610"/>
      <c r="AF24" s="610"/>
      <c r="AG24" s="611"/>
      <c r="AH24" s="609" t="s">
        <v>567</v>
      </c>
      <c r="AI24" s="610"/>
      <c r="AJ24" s="610"/>
      <c r="AK24" s="610"/>
      <c r="AL24" s="611"/>
    </row>
    <row r="25" spans="2:38" ht="30.75" thickBot="1" x14ac:dyDescent="0.3">
      <c r="P25" s="83"/>
      <c r="Q25" s="591" t="s">
        <v>275</v>
      </c>
      <c r="R25" s="592" t="s">
        <v>276</v>
      </c>
      <c r="S25" s="592"/>
      <c r="T25" s="91"/>
      <c r="W25" s="83"/>
      <c r="X25" s="591" t="s">
        <v>275</v>
      </c>
      <c r="Y25" s="592" t="s">
        <v>276</v>
      </c>
      <c r="Z25" s="592"/>
      <c r="AA25" s="91"/>
      <c r="AC25" s="418"/>
      <c r="AD25" s="425" t="s">
        <v>574</v>
      </c>
      <c r="AE25" s="420" t="s">
        <v>102</v>
      </c>
      <c r="AF25" s="422">
        <f>ROUNDDOWN((AF12/AF23),0)</f>
        <v>9</v>
      </c>
      <c r="AG25" s="421" t="s">
        <v>568</v>
      </c>
      <c r="AH25" s="418"/>
      <c r="AI25" s="419" t="s">
        <v>567</v>
      </c>
      <c r="AJ25" s="420" t="s">
        <v>102</v>
      </c>
      <c r="AK25" s="422">
        <f>ROUNDDOWN((AK12/AK23),0)</f>
        <v>8</v>
      </c>
      <c r="AL25" s="421" t="s">
        <v>568</v>
      </c>
    </row>
    <row r="26" spans="2:38" x14ac:dyDescent="0.25">
      <c r="P26" s="83"/>
      <c r="Q26" s="591"/>
      <c r="R26" s="109">
        <f>R8</f>
        <v>10.8</v>
      </c>
      <c r="S26" s="109" t="s">
        <v>281</v>
      </c>
      <c r="T26" s="91"/>
      <c r="W26" s="83"/>
      <c r="X26" s="591"/>
      <c r="Y26" s="109">
        <f>Y8</f>
        <v>10.8</v>
      </c>
      <c r="Z26" s="109" t="s">
        <v>281</v>
      </c>
      <c r="AA26" s="91"/>
    </row>
    <row r="27" spans="2:38" x14ac:dyDescent="0.25">
      <c r="P27" s="83"/>
      <c r="Q27" s="591" t="s">
        <v>277</v>
      </c>
      <c r="R27" s="592" t="s">
        <v>278</v>
      </c>
      <c r="S27" s="592"/>
      <c r="T27" s="91"/>
      <c r="W27" s="83"/>
      <c r="X27" s="591" t="s">
        <v>277</v>
      </c>
      <c r="Y27" s="592" t="s">
        <v>278</v>
      </c>
      <c r="Z27" s="592"/>
      <c r="AA27" s="91"/>
    </row>
    <row r="28" spans="2:38" x14ac:dyDescent="0.25">
      <c r="P28" s="83"/>
      <c r="Q28" s="591"/>
      <c r="R28" s="109">
        <f>R10</f>
        <v>201.15300000000002</v>
      </c>
      <c r="S28" s="109" t="s">
        <v>253</v>
      </c>
      <c r="T28" s="91"/>
      <c r="W28" s="83"/>
      <c r="X28" s="591"/>
      <c r="Y28" s="109">
        <f>Y10</f>
        <v>201.15300000000002</v>
      </c>
      <c r="Z28" s="109" t="s">
        <v>253</v>
      </c>
      <c r="AA28" s="91"/>
      <c r="AD28" t="s">
        <v>572</v>
      </c>
      <c r="AE28" s="403" t="s">
        <v>102</v>
      </c>
      <c r="AF28" s="226">
        <f>AF15+AF16</f>
        <v>2.5281796324218591</v>
      </c>
      <c r="AG28" t="s">
        <v>554</v>
      </c>
    </row>
    <row r="29" spans="2:38" x14ac:dyDescent="0.25">
      <c r="P29" s="83"/>
      <c r="Q29" s="591" t="s">
        <v>198</v>
      </c>
      <c r="R29" s="592" t="s">
        <v>279</v>
      </c>
      <c r="S29" s="592"/>
      <c r="T29" s="91"/>
      <c r="W29" s="83"/>
      <c r="X29" s="591" t="s">
        <v>198</v>
      </c>
      <c r="Y29" s="592" t="s">
        <v>279</v>
      </c>
      <c r="Z29" s="592"/>
      <c r="AA29" s="91"/>
      <c r="AD29" t="s">
        <v>573</v>
      </c>
      <c r="AE29" s="403" t="s">
        <v>102</v>
      </c>
      <c r="AF29">
        <f>AF25*AF28</f>
        <v>22.753616691796733</v>
      </c>
      <c r="AG29" t="s">
        <v>554</v>
      </c>
    </row>
    <row r="30" spans="2:38" x14ac:dyDescent="0.25">
      <c r="P30" s="83"/>
      <c r="Q30" s="591"/>
      <c r="R30" s="109">
        <v>2.5000000000000001E-3</v>
      </c>
      <c r="S30" s="109"/>
      <c r="T30" s="91"/>
      <c r="W30" s="83"/>
      <c r="X30" s="591"/>
      <c r="Y30" s="109">
        <v>2.5000000000000001E-3</v>
      </c>
      <c r="Z30" s="109"/>
      <c r="AA30" s="91"/>
    </row>
    <row r="31" spans="2:38" x14ac:dyDescent="0.25">
      <c r="P31" s="83"/>
      <c r="Q31" s="591" t="s">
        <v>206</v>
      </c>
      <c r="R31" s="592" t="s">
        <v>280</v>
      </c>
      <c r="S31" s="592"/>
      <c r="T31" s="91"/>
      <c r="W31" s="83"/>
      <c r="X31" s="591" t="s">
        <v>206</v>
      </c>
      <c r="Y31" s="592" t="s">
        <v>280</v>
      </c>
      <c r="Z31" s="592"/>
      <c r="AA31" s="91"/>
    </row>
    <row r="32" spans="2:38" x14ac:dyDescent="0.25">
      <c r="P32" s="83"/>
      <c r="Q32" s="591"/>
      <c r="R32" s="106">
        <f>R15</f>
        <v>10.6</v>
      </c>
      <c r="S32" s="109" t="s">
        <v>86</v>
      </c>
      <c r="T32" s="91"/>
      <c r="W32" s="83"/>
      <c r="X32" s="591"/>
      <c r="Y32" s="106">
        <f>Y15</f>
        <v>10.6</v>
      </c>
      <c r="Z32" s="109" t="s">
        <v>86</v>
      </c>
      <c r="AA32" s="91"/>
    </row>
    <row r="33" spans="16:27" ht="15.75" thickBot="1" x14ac:dyDescent="0.3">
      <c r="P33" s="83"/>
      <c r="T33" s="91"/>
      <c r="W33" s="83"/>
      <c r="AA33" s="91"/>
    </row>
    <row r="34" spans="16:27" x14ac:dyDescent="0.25">
      <c r="P34" s="83"/>
      <c r="Q34" s="167" t="s">
        <v>283</v>
      </c>
      <c r="R34" s="173">
        <f>110%*(R26*R28*R30)/(R32*1000)</f>
        <v>5.6360793396226434E-4</v>
      </c>
      <c r="S34" s="169" t="s">
        <v>92</v>
      </c>
      <c r="T34" s="91"/>
      <c r="W34" s="83"/>
      <c r="X34" s="167" t="s">
        <v>283</v>
      </c>
      <c r="Y34" s="173">
        <f>110%*(Y26*Y28*Y30)/(Y32*1000)</f>
        <v>5.6360793396226434E-4</v>
      </c>
      <c r="Z34" s="169" t="s">
        <v>92</v>
      </c>
      <c r="AA34" s="91"/>
    </row>
    <row r="35" spans="16:27" ht="15.75" thickBot="1" x14ac:dyDescent="0.3">
      <c r="P35" s="83"/>
      <c r="Q35" s="170"/>
      <c r="R35" s="177">
        <f>R34*1000</f>
        <v>0.56360793396226438</v>
      </c>
      <c r="S35" s="172" t="s">
        <v>282</v>
      </c>
      <c r="T35" s="91"/>
      <c r="W35" s="83"/>
      <c r="X35" s="170"/>
      <c r="Y35" s="177">
        <f>Y34*1000</f>
        <v>0.56360793396226438</v>
      </c>
      <c r="Z35" s="172" t="s">
        <v>282</v>
      </c>
      <c r="AA35" s="91"/>
    </row>
    <row r="36" spans="16:27" ht="15.75" thickBot="1" x14ac:dyDescent="0.3">
      <c r="P36" s="166"/>
      <c r="Q36" s="92"/>
      <c r="R36" s="92"/>
      <c r="S36" s="92"/>
      <c r="T36" s="93"/>
      <c r="W36" s="166"/>
      <c r="X36" s="92"/>
      <c r="Y36" s="92"/>
      <c r="Z36" s="92"/>
      <c r="AA36" s="93"/>
    </row>
    <row r="37" spans="16:27" ht="15.75" thickBot="1" x14ac:dyDescent="0.3"/>
    <row r="38" spans="16:27" x14ac:dyDescent="0.25">
      <c r="P38" s="188" t="s">
        <v>285</v>
      </c>
      <c r="Q38" s="598" t="s">
        <v>284</v>
      </c>
      <c r="R38" s="598"/>
      <c r="S38" s="598"/>
      <c r="T38" s="605"/>
      <c r="U38" s="84"/>
      <c r="W38" s="188" t="s">
        <v>285</v>
      </c>
      <c r="X38" s="598" t="s">
        <v>284</v>
      </c>
      <c r="Y38" s="598"/>
      <c r="Z38" s="598"/>
      <c r="AA38" s="605"/>
    </row>
    <row r="39" spans="16:27" x14ac:dyDescent="0.25">
      <c r="P39" s="83"/>
      <c r="T39" s="91"/>
      <c r="W39" s="83"/>
      <c r="AA39" s="91"/>
    </row>
    <row r="40" spans="16:27" x14ac:dyDescent="0.25">
      <c r="P40" s="83"/>
      <c r="T40" s="91"/>
      <c r="W40" s="83"/>
      <c r="AA40" s="91"/>
    </row>
    <row r="41" spans="16:27" x14ac:dyDescent="0.25">
      <c r="P41" s="83"/>
      <c r="T41" s="91"/>
      <c r="W41" s="83"/>
      <c r="AA41" s="91"/>
    </row>
    <row r="42" spans="16:27" x14ac:dyDescent="0.25">
      <c r="P42" s="83"/>
      <c r="Q42" s="591" t="s">
        <v>275</v>
      </c>
      <c r="R42" s="592" t="s">
        <v>276</v>
      </c>
      <c r="S42" s="592"/>
      <c r="T42" s="91"/>
      <c r="W42" s="83"/>
      <c r="X42" s="591" t="s">
        <v>275</v>
      </c>
      <c r="Y42" s="592" t="s">
        <v>276</v>
      </c>
      <c r="Z42" s="592"/>
      <c r="AA42" s="91"/>
    </row>
    <row r="43" spans="16:27" x14ac:dyDescent="0.25">
      <c r="P43" s="83"/>
      <c r="Q43" s="591"/>
      <c r="R43" s="109">
        <f>R26</f>
        <v>10.8</v>
      </c>
      <c r="S43" s="109" t="s">
        <v>281</v>
      </c>
      <c r="T43" s="91"/>
      <c r="W43" s="83"/>
      <c r="X43" s="591"/>
      <c r="Y43" s="109">
        <f>Y26</f>
        <v>10.8</v>
      </c>
      <c r="Z43" s="109" t="s">
        <v>281</v>
      </c>
      <c r="AA43" s="91"/>
    </row>
    <row r="44" spans="16:27" x14ac:dyDescent="0.25">
      <c r="P44" s="83"/>
      <c r="Q44" s="591" t="s">
        <v>277</v>
      </c>
      <c r="R44" s="592" t="s">
        <v>278</v>
      </c>
      <c r="S44" s="592"/>
      <c r="T44" s="91"/>
      <c r="W44" s="83"/>
      <c r="X44" s="591" t="s">
        <v>277</v>
      </c>
      <c r="Y44" s="592" t="s">
        <v>278</v>
      </c>
      <c r="Z44" s="592"/>
      <c r="AA44" s="91"/>
    </row>
    <row r="45" spans="16:27" x14ac:dyDescent="0.25">
      <c r="P45" s="83"/>
      <c r="Q45" s="591"/>
      <c r="R45" s="109">
        <f>R28</f>
        <v>201.15300000000002</v>
      </c>
      <c r="S45" s="109" t="s">
        <v>253</v>
      </c>
      <c r="T45" s="91"/>
      <c r="W45" s="83"/>
      <c r="X45" s="591"/>
      <c r="Y45" s="109">
        <f>Y28</f>
        <v>201.15300000000002</v>
      </c>
      <c r="Z45" s="109" t="s">
        <v>253</v>
      </c>
      <c r="AA45" s="91"/>
    </row>
    <row r="46" spans="16:27" x14ac:dyDescent="0.25">
      <c r="P46" s="83"/>
      <c r="Q46" s="591" t="s">
        <v>286</v>
      </c>
      <c r="R46" s="592" t="s">
        <v>279</v>
      </c>
      <c r="S46" s="592"/>
      <c r="T46" s="91"/>
      <c r="W46" s="83"/>
      <c r="X46" s="591" t="s">
        <v>286</v>
      </c>
      <c r="Y46" s="592" t="s">
        <v>279</v>
      </c>
      <c r="Z46" s="592"/>
      <c r="AA46" s="91"/>
    </row>
    <row r="47" spans="16:27" x14ac:dyDescent="0.25">
      <c r="P47" s="83"/>
      <c r="Q47" s="591"/>
      <c r="R47" s="109">
        <v>0.1</v>
      </c>
      <c r="S47" s="109"/>
      <c r="T47" s="91"/>
      <c r="W47" s="83"/>
      <c r="X47" s="591"/>
      <c r="Y47" s="109">
        <v>0.05</v>
      </c>
      <c r="Z47" s="109"/>
      <c r="AA47" s="91"/>
    </row>
    <row r="48" spans="16:27" x14ac:dyDescent="0.25">
      <c r="P48" s="83"/>
      <c r="Q48" s="591" t="s">
        <v>206</v>
      </c>
      <c r="R48" s="592" t="s">
        <v>280</v>
      </c>
      <c r="S48" s="592"/>
      <c r="T48" s="91"/>
      <c r="W48" s="83"/>
      <c r="X48" s="591" t="s">
        <v>206</v>
      </c>
      <c r="Y48" s="592" t="s">
        <v>280</v>
      </c>
      <c r="Z48" s="592"/>
      <c r="AA48" s="91"/>
    </row>
    <row r="49" spans="16:27" x14ac:dyDescent="0.25">
      <c r="P49" s="83"/>
      <c r="Q49" s="591"/>
      <c r="R49" s="106">
        <f>R32</f>
        <v>10.6</v>
      </c>
      <c r="S49" s="109" t="s">
        <v>86</v>
      </c>
      <c r="T49" s="91"/>
      <c r="W49" s="83"/>
      <c r="X49" s="591"/>
      <c r="Y49" s="106">
        <f>Y32</f>
        <v>10.6</v>
      </c>
      <c r="Z49" s="109" t="s">
        <v>86</v>
      </c>
      <c r="AA49" s="91"/>
    </row>
    <row r="50" spans="16:27" ht="15.75" thickBot="1" x14ac:dyDescent="0.3">
      <c r="P50" s="83"/>
      <c r="T50" s="91"/>
      <c r="W50" s="83"/>
      <c r="AA50" s="91"/>
    </row>
    <row r="51" spans="16:27" x14ac:dyDescent="0.25">
      <c r="P51" s="83"/>
      <c r="Q51" s="167" t="s">
        <v>287</v>
      </c>
      <c r="R51" s="173">
        <f>110%*(R43*R45*R47)/(R49*1000)</f>
        <v>2.2544317358490575E-2</v>
      </c>
      <c r="S51" s="169" t="s">
        <v>92</v>
      </c>
      <c r="T51" s="91"/>
      <c r="W51" s="83"/>
      <c r="X51" s="167" t="s">
        <v>287</v>
      </c>
      <c r="Y51" s="173">
        <f>110%*(Y43*Y45*Y47)/(Y49*1000)</f>
        <v>1.1272158679245288E-2</v>
      </c>
      <c r="Z51" s="169" t="s">
        <v>92</v>
      </c>
      <c r="AA51" s="91"/>
    </row>
    <row r="52" spans="16:27" ht="15.75" thickBot="1" x14ac:dyDescent="0.3">
      <c r="P52" s="83"/>
      <c r="Q52" s="170"/>
      <c r="R52" s="177">
        <f>R51*1000</f>
        <v>22.544317358490574</v>
      </c>
      <c r="S52" s="172" t="s">
        <v>282</v>
      </c>
      <c r="T52" s="91"/>
      <c r="W52" s="83"/>
      <c r="X52" s="170"/>
      <c r="Y52" s="177">
        <f>Y51*1000</f>
        <v>11.272158679245287</v>
      </c>
      <c r="Z52" s="172" t="s">
        <v>282</v>
      </c>
      <c r="AA52" s="91"/>
    </row>
    <row r="53" spans="16:27" ht="15.75" thickBot="1" x14ac:dyDescent="0.3">
      <c r="P53" s="166"/>
      <c r="Q53" s="92"/>
      <c r="R53" s="92"/>
      <c r="S53" s="92"/>
      <c r="T53" s="93"/>
      <c r="W53" s="166"/>
      <c r="X53" s="92"/>
      <c r="Y53" s="92"/>
      <c r="Z53" s="92"/>
      <c r="AA53" s="93"/>
    </row>
    <row r="54" spans="16:27" ht="15.75" thickBot="1" x14ac:dyDescent="0.3"/>
    <row r="55" spans="16:27" x14ac:dyDescent="0.25">
      <c r="P55" s="188" t="s">
        <v>288</v>
      </c>
      <c r="Q55" s="598" t="s">
        <v>293</v>
      </c>
      <c r="R55" s="598"/>
      <c r="S55" s="598"/>
      <c r="T55" s="605"/>
      <c r="U55" s="84"/>
      <c r="W55" s="188" t="s">
        <v>288</v>
      </c>
      <c r="X55" s="598" t="s">
        <v>293</v>
      </c>
      <c r="Y55" s="598"/>
      <c r="Z55" s="598"/>
      <c r="AA55" s="605"/>
    </row>
    <row r="56" spans="16:27" x14ac:dyDescent="0.25">
      <c r="P56" s="83"/>
      <c r="T56" s="91"/>
      <c r="W56" s="83"/>
      <c r="AA56" s="91"/>
    </row>
    <row r="57" spans="16:27" x14ac:dyDescent="0.25">
      <c r="P57" s="83"/>
      <c r="T57" s="91"/>
      <c r="W57" s="83"/>
      <c r="AA57" s="91"/>
    </row>
    <row r="58" spans="16:27" x14ac:dyDescent="0.25">
      <c r="P58" s="83"/>
      <c r="T58" s="91"/>
      <c r="W58" s="83"/>
      <c r="AA58" s="91"/>
    </row>
    <row r="59" spans="16:27" x14ac:dyDescent="0.25">
      <c r="P59" s="83"/>
      <c r="Q59" s="591" t="s">
        <v>275</v>
      </c>
      <c r="R59" s="592" t="s">
        <v>276</v>
      </c>
      <c r="S59" s="592"/>
      <c r="T59" s="91"/>
      <c r="W59" s="83"/>
      <c r="X59" s="591" t="s">
        <v>275</v>
      </c>
      <c r="Y59" s="592" t="s">
        <v>276</v>
      </c>
      <c r="Z59" s="592"/>
      <c r="AA59" s="91"/>
    </row>
    <row r="60" spans="16:27" x14ac:dyDescent="0.25">
      <c r="P60" s="83"/>
      <c r="Q60" s="591"/>
      <c r="R60" s="109">
        <f>R43</f>
        <v>10.8</v>
      </c>
      <c r="S60" s="109" t="s">
        <v>281</v>
      </c>
      <c r="T60" s="91"/>
      <c r="W60" s="83"/>
      <c r="X60" s="591"/>
      <c r="Y60" s="109">
        <f>Y43</f>
        <v>10.8</v>
      </c>
      <c r="Z60" s="109" t="s">
        <v>281</v>
      </c>
      <c r="AA60" s="91"/>
    </row>
    <row r="61" spans="16:27" ht="29.45" customHeight="1" x14ac:dyDescent="0.25">
      <c r="P61" s="83"/>
      <c r="Q61" s="591" t="s">
        <v>289</v>
      </c>
      <c r="R61" s="604" t="s">
        <v>290</v>
      </c>
      <c r="S61" s="604"/>
      <c r="T61" s="91"/>
      <c r="W61" s="83"/>
      <c r="X61" s="591" t="s">
        <v>289</v>
      </c>
      <c r="Y61" s="604" t="s">
        <v>290</v>
      </c>
      <c r="Z61" s="604"/>
      <c r="AA61" s="91"/>
    </row>
    <row r="62" spans="16:27" x14ac:dyDescent="0.25">
      <c r="P62" s="83"/>
      <c r="Q62" s="591"/>
      <c r="R62" s="109">
        <v>110</v>
      </c>
      <c r="S62" s="109" t="s">
        <v>291</v>
      </c>
      <c r="T62" s="91"/>
      <c r="W62" s="83"/>
      <c r="X62" s="591"/>
      <c r="Y62" s="109">
        <f>R62</f>
        <v>110</v>
      </c>
      <c r="Z62" s="109" t="s">
        <v>291</v>
      </c>
      <c r="AA62" s="91"/>
    </row>
    <row r="63" spans="16:27" x14ac:dyDescent="0.25">
      <c r="P63" s="83"/>
      <c r="Q63" s="591" t="s">
        <v>295</v>
      </c>
      <c r="R63" s="592" t="s">
        <v>279</v>
      </c>
      <c r="S63" s="592"/>
      <c r="T63" s="91"/>
      <c r="W63" s="83"/>
      <c r="X63" s="591" t="s">
        <v>295</v>
      </c>
      <c r="Y63" s="592" t="s">
        <v>279</v>
      </c>
      <c r="Z63" s="592"/>
      <c r="AA63" s="91"/>
    </row>
    <row r="64" spans="16:27" x14ac:dyDescent="0.25">
      <c r="P64" s="83"/>
      <c r="Q64" s="591"/>
      <c r="R64" s="109">
        <v>100</v>
      </c>
      <c r="S64" s="109"/>
      <c r="T64" s="91"/>
      <c r="W64" s="83"/>
      <c r="X64" s="591"/>
      <c r="Y64" s="109">
        <f>R64</f>
        <v>100</v>
      </c>
      <c r="Z64" s="109"/>
      <c r="AA64" s="91"/>
    </row>
    <row r="65" spans="16:31" x14ac:dyDescent="0.25">
      <c r="P65" s="83"/>
      <c r="Q65" s="591" t="s">
        <v>206</v>
      </c>
      <c r="R65" s="592" t="s">
        <v>280</v>
      </c>
      <c r="S65" s="592"/>
      <c r="T65" s="91"/>
      <c r="W65" s="83"/>
      <c r="X65" s="591" t="s">
        <v>206</v>
      </c>
      <c r="Y65" s="592" t="s">
        <v>280</v>
      </c>
      <c r="Z65" s="592"/>
      <c r="AA65" s="91"/>
    </row>
    <row r="66" spans="16:31" x14ac:dyDescent="0.25">
      <c r="P66" s="83"/>
      <c r="Q66" s="591"/>
      <c r="R66" s="106">
        <f>R49</f>
        <v>10.6</v>
      </c>
      <c r="S66" s="109" t="s">
        <v>86</v>
      </c>
      <c r="T66" s="91"/>
      <c r="W66" s="83"/>
      <c r="X66" s="591"/>
      <c r="Y66" s="106">
        <f>Y49</f>
        <v>10.6</v>
      </c>
      <c r="Z66" s="109" t="s">
        <v>86</v>
      </c>
      <c r="AA66" s="91"/>
    </row>
    <row r="67" spans="16:31" ht="15.75" thickBot="1" x14ac:dyDescent="0.3">
      <c r="P67" s="83"/>
      <c r="T67" s="91"/>
      <c r="W67" s="83"/>
      <c r="AA67" s="91"/>
    </row>
    <row r="68" spans="16:31" x14ac:dyDescent="0.25">
      <c r="P68" s="83"/>
      <c r="Q68" s="167" t="s">
        <v>294</v>
      </c>
      <c r="R68" s="174">
        <f>110%*((R60*R62*R64)/(24*R66*1000))</f>
        <v>0.513679245283019</v>
      </c>
      <c r="S68" s="169" t="s">
        <v>92</v>
      </c>
      <c r="T68" s="91"/>
      <c r="W68" s="83"/>
      <c r="X68" s="167" t="s">
        <v>294</v>
      </c>
      <c r="Y68" s="174">
        <f>110%*((Y60*Y62*Y64)/(24*Y66*1000))</f>
        <v>0.513679245283019</v>
      </c>
      <c r="Z68" s="169" t="s">
        <v>92</v>
      </c>
      <c r="AA68" s="91"/>
    </row>
    <row r="69" spans="16:31" ht="15.75" thickBot="1" x14ac:dyDescent="0.3">
      <c r="P69" s="83"/>
      <c r="Q69" s="170"/>
      <c r="R69" s="175">
        <f>R68*1000</f>
        <v>513.67924528301899</v>
      </c>
      <c r="S69" s="172" t="s">
        <v>282</v>
      </c>
      <c r="T69" s="91"/>
      <c r="W69" s="83"/>
      <c r="X69" s="170"/>
      <c r="Y69" s="175">
        <f>Y68*1000</f>
        <v>513.67924528301899</v>
      </c>
      <c r="Z69" s="172" t="s">
        <v>282</v>
      </c>
      <c r="AA69" s="91"/>
    </row>
    <row r="70" spans="16:31" ht="15.75" thickBot="1" x14ac:dyDescent="0.3">
      <c r="P70" s="166"/>
      <c r="Q70" s="92"/>
      <c r="R70" s="92"/>
      <c r="S70" s="92"/>
      <c r="T70" s="93"/>
      <c r="W70" s="166"/>
      <c r="X70" s="92"/>
      <c r="Y70" s="92"/>
      <c r="Z70" s="92"/>
      <c r="AA70" s="93"/>
    </row>
    <row r="71" spans="16:31" ht="15.75" thickBot="1" x14ac:dyDescent="0.3"/>
    <row r="72" spans="16:31" x14ac:dyDescent="0.25">
      <c r="P72" s="188">
        <v>4</v>
      </c>
      <c r="Q72" s="598" t="s">
        <v>250</v>
      </c>
      <c r="R72" s="598"/>
      <c r="S72" s="598"/>
      <c r="T72" s="605"/>
      <c r="U72" s="84"/>
      <c r="W72" s="188">
        <v>4</v>
      </c>
      <c r="X72" s="598" t="s">
        <v>250</v>
      </c>
      <c r="Y72" s="598"/>
      <c r="Z72" s="598"/>
      <c r="AA72" s="605"/>
    </row>
    <row r="73" spans="16:31" ht="27.6" customHeight="1" x14ac:dyDescent="0.25">
      <c r="P73" s="83"/>
      <c r="Q73" s="591" t="s">
        <v>289</v>
      </c>
      <c r="R73" s="604" t="s">
        <v>290</v>
      </c>
      <c r="S73" s="604"/>
      <c r="T73" s="91"/>
      <c r="W73" s="83"/>
      <c r="X73" s="591" t="s">
        <v>289</v>
      </c>
      <c r="Y73" s="604" t="s">
        <v>290</v>
      </c>
      <c r="Z73" s="604"/>
      <c r="AA73" s="91"/>
    </row>
    <row r="74" spans="16:31" x14ac:dyDescent="0.25">
      <c r="P74" s="83"/>
      <c r="Q74" s="591"/>
      <c r="R74" s="109">
        <f>R62</f>
        <v>110</v>
      </c>
      <c r="S74" s="109" t="s">
        <v>291</v>
      </c>
      <c r="T74" s="91"/>
      <c r="W74" s="83"/>
      <c r="X74" s="591"/>
      <c r="Y74" s="109">
        <f>Y62</f>
        <v>110</v>
      </c>
      <c r="Z74" s="109" t="s">
        <v>291</v>
      </c>
      <c r="AA74" s="91"/>
    </row>
    <row r="75" spans="16:31" s="189" customFormat="1" ht="30" x14ac:dyDescent="0.25">
      <c r="P75" s="192"/>
      <c r="Q75" s="190" t="s">
        <v>292</v>
      </c>
      <c r="R75" s="191">
        <v>100</v>
      </c>
      <c r="S75" s="191" t="s">
        <v>267</v>
      </c>
      <c r="T75" s="193"/>
      <c r="V75" s="223"/>
      <c r="W75" s="192"/>
      <c r="X75" s="190" t="s">
        <v>292</v>
      </c>
      <c r="Y75" s="191">
        <f>R75</f>
        <v>100</v>
      </c>
      <c r="Z75" s="191" t="s">
        <v>267</v>
      </c>
      <c r="AA75" s="193"/>
      <c r="AE75" s="405"/>
    </row>
    <row r="76" spans="16:31" ht="15.75" thickBot="1" x14ac:dyDescent="0.3">
      <c r="P76" s="83"/>
      <c r="T76" s="91"/>
      <c r="W76" s="83"/>
      <c r="AA76" s="91"/>
    </row>
    <row r="77" spans="16:31" x14ac:dyDescent="0.25">
      <c r="P77" s="83"/>
      <c r="Q77" s="167" t="s">
        <v>298</v>
      </c>
      <c r="R77" s="168">
        <f>R75*R74</f>
        <v>11000</v>
      </c>
      <c r="S77" s="169" t="s">
        <v>267</v>
      </c>
      <c r="T77" s="91"/>
      <c r="W77" s="83"/>
      <c r="X77" s="167" t="s">
        <v>298</v>
      </c>
      <c r="Y77" s="168">
        <f>Y75*Y74</f>
        <v>11000</v>
      </c>
      <c r="Z77" s="169" t="s">
        <v>267</v>
      </c>
      <c r="AA77" s="91"/>
    </row>
    <row r="78" spans="16:31" ht="15.75" thickBot="1" x14ac:dyDescent="0.3">
      <c r="P78" s="83"/>
      <c r="Q78" s="170"/>
      <c r="R78" s="171">
        <f>R77/1000</f>
        <v>11</v>
      </c>
      <c r="S78" s="172" t="s">
        <v>92</v>
      </c>
      <c r="T78" s="91"/>
      <c r="W78" s="83"/>
      <c r="X78" s="170"/>
      <c r="Y78" s="171">
        <f>Y77/1000</f>
        <v>11</v>
      </c>
      <c r="Z78" s="172" t="s">
        <v>92</v>
      </c>
      <c r="AA78" s="91"/>
    </row>
    <row r="79" spans="16:31" ht="15.75" thickBot="1" x14ac:dyDescent="0.3">
      <c r="P79" s="166"/>
      <c r="Q79" s="92"/>
      <c r="R79" s="92"/>
      <c r="S79" s="92"/>
      <c r="T79" s="93"/>
      <c r="W79" s="166"/>
      <c r="X79" s="92"/>
      <c r="Y79" s="92"/>
      <c r="Z79" s="92"/>
      <c r="AA79" s="93"/>
    </row>
    <row r="80" spans="16:31" ht="15.75" thickBot="1" x14ac:dyDescent="0.3"/>
    <row r="81" spans="16:27" x14ac:dyDescent="0.25">
      <c r="P81" s="188">
        <v>5</v>
      </c>
      <c r="Q81" s="598" t="s">
        <v>296</v>
      </c>
      <c r="R81" s="598"/>
      <c r="S81" s="598"/>
      <c r="T81" s="605"/>
      <c r="U81" s="84"/>
      <c r="W81" s="188">
        <v>5</v>
      </c>
      <c r="X81" s="598" t="s">
        <v>296</v>
      </c>
      <c r="Y81" s="598"/>
      <c r="Z81" s="598"/>
      <c r="AA81" s="605"/>
    </row>
    <row r="82" spans="16:27" x14ac:dyDescent="0.25">
      <c r="P82" s="83"/>
      <c r="Q82" s="591" t="s">
        <v>289</v>
      </c>
      <c r="R82" s="604" t="s">
        <v>290</v>
      </c>
      <c r="S82" s="604"/>
      <c r="T82" s="91"/>
      <c r="W82" s="83"/>
      <c r="X82" s="591" t="s">
        <v>289</v>
      </c>
      <c r="Y82" s="604" t="s">
        <v>290</v>
      </c>
      <c r="Z82" s="604"/>
      <c r="AA82" s="91"/>
    </row>
    <row r="83" spans="16:27" x14ac:dyDescent="0.25">
      <c r="P83" s="83"/>
      <c r="Q83" s="591"/>
      <c r="R83" s="109">
        <f>R74</f>
        <v>110</v>
      </c>
      <c r="S83" s="109" t="s">
        <v>291</v>
      </c>
      <c r="T83" s="91"/>
      <c r="W83" s="83"/>
      <c r="X83" s="591"/>
      <c r="Y83" s="109">
        <f>Y74</f>
        <v>110</v>
      </c>
      <c r="Z83" s="109" t="s">
        <v>291</v>
      </c>
      <c r="AA83" s="91"/>
    </row>
    <row r="84" spans="16:27" ht="30" x14ac:dyDescent="0.25">
      <c r="P84" s="192"/>
      <c r="Q84" s="190" t="s">
        <v>297</v>
      </c>
      <c r="R84" s="191">
        <v>50</v>
      </c>
      <c r="S84" s="191" t="s">
        <v>267</v>
      </c>
      <c r="T84" s="193"/>
      <c r="U84" s="189"/>
      <c r="W84" s="192"/>
      <c r="X84" s="190" t="s">
        <v>297</v>
      </c>
      <c r="Y84" s="191">
        <v>50</v>
      </c>
      <c r="Z84" s="191" t="s">
        <v>267</v>
      </c>
      <c r="AA84" s="193"/>
    </row>
    <row r="85" spans="16:27" ht="15.75" thickBot="1" x14ac:dyDescent="0.3">
      <c r="P85" s="83"/>
      <c r="T85" s="91"/>
      <c r="W85" s="83"/>
      <c r="AA85" s="91"/>
    </row>
    <row r="86" spans="16:27" x14ac:dyDescent="0.25">
      <c r="P86" s="83"/>
      <c r="Q86" s="167" t="s">
        <v>298</v>
      </c>
      <c r="R86" s="168">
        <f>R84*R83</f>
        <v>5500</v>
      </c>
      <c r="S86" s="169" t="s">
        <v>267</v>
      </c>
      <c r="T86" s="91"/>
      <c r="W86" s="83"/>
      <c r="X86" s="167" t="s">
        <v>298</v>
      </c>
      <c r="Y86" s="168">
        <f>Y84*Y83</f>
        <v>5500</v>
      </c>
      <c r="Z86" s="169" t="s">
        <v>267</v>
      </c>
      <c r="AA86" s="91"/>
    </row>
    <row r="87" spans="16:27" ht="15.75" thickBot="1" x14ac:dyDescent="0.3">
      <c r="P87" s="83"/>
      <c r="Q87" s="170"/>
      <c r="R87" s="171">
        <f>R86/1000</f>
        <v>5.5</v>
      </c>
      <c r="S87" s="172" t="s">
        <v>92</v>
      </c>
      <c r="T87" s="91"/>
      <c r="W87" s="83"/>
      <c r="X87" s="170"/>
      <c r="Y87" s="171">
        <f>Y86/1000</f>
        <v>5.5</v>
      </c>
      <c r="Z87" s="172" t="s">
        <v>92</v>
      </c>
      <c r="AA87" s="91"/>
    </row>
    <row r="88" spans="16:27" ht="15.75" thickBot="1" x14ac:dyDescent="0.3">
      <c r="P88" s="166"/>
      <c r="Q88" s="92"/>
      <c r="R88" s="92"/>
      <c r="S88" s="92"/>
      <c r="T88" s="93"/>
      <c r="W88" s="166"/>
      <c r="X88" s="92"/>
      <c r="Y88" s="92"/>
      <c r="Z88" s="92"/>
      <c r="AA88" s="93"/>
    </row>
    <row r="89" spans="16:27" ht="15.75" thickBot="1" x14ac:dyDescent="0.3"/>
    <row r="90" spans="16:27" x14ac:dyDescent="0.25">
      <c r="P90" s="188">
        <v>6</v>
      </c>
      <c r="Q90" s="598" t="s">
        <v>251</v>
      </c>
      <c r="R90" s="598"/>
      <c r="S90" s="598"/>
      <c r="T90" s="605"/>
      <c r="U90" s="84"/>
      <c r="W90" s="188">
        <v>6</v>
      </c>
      <c r="X90" s="598" t="s">
        <v>251</v>
      </c>
      <c r="Y90" s="598"/>
      <c r="Z90" s="598"/>
      <c r="AA90" s="605"/>
    </row>
    <row r="91" spans="16:27" x14ac:dyDescent="0.25">
      <c r="P91" s="83"/>
      <c r="T91" s="91"/>
      <c r="W91" s="83"/>
      <c r="AA91" s="91"/>
    </row>
    <row r="92" spans="16:27" x14ac:dyDescent="0.25">
      <c r="P92" s="83"/>
      <c r="T92" s="91"/>
      <c r="W92" s="83"/>
      <c r="AA92" s="91"/>
    </row>
    <row r="93" spans="16:27" x14ac:dyDescent="0.25">
      <c r="P93" s="83"/>
      <c r="T93" s="91"/>
      <c r="W93" s="83"/>
      <c r="AA93" s="91"/>
    </row>
    <row r="94" spans="16:27" x14ac:dyDescent="0.25">
      <c r="P94" s="83"/>
      <c r="Q94" s="591" t="s">
        <v>275</v>
      </c>
      <c r="R94" s="592" t="s">
        <v>276</v>
      </c>
      <c r="S94" s="592"/>
      <c r="T94" s="91"/>
      <c r="W94" s="83"/>
      <c r="X94" s="591" t="s">
        <v>275</v>
      </c>
      <c r="Y94" s="592" t="s">
        <v>276</v>
      </c>
      <c r="Z94" s="592"/>
      <c r="AA94" s="91"/>
    </row>
    <row r="95" spans="16:27" x14ac:dyDescent="0.25">
      <c r="P95" s="83"/>
      <c r="Q95" s="591"/>
      <c r="R95" s="109">
        <f>R60</f>
        <v>10.8</v>
      </c>
      <c r="S95" s="109" t="s">
        <v>281</v>
      </c>
      <c r="T95" s="91"/>
      <c r="W95" s="83"/>
      <c r="X95" s="591"/>
      <c r="Y95" s="109">
        <f>Y60</f>
        <v>10.8</v>
      </c>
      <c r="Z95" s="109" t="s">
        <v>281</v>
      </c>
      <c r="AA95" s="91"/>
    </row>
    <row r="96" spans="16:27" x14ac:dyDescent="0.25">
      <c r="P96" s="83"/>
      <c r="Q96" s="591" t="s">
        <v>289</v>
      </c>
      <c r="R96" s="604" t="s">
        <v>290</v>
      </c>
      <c r="S96" s="604"/>
      <c r="T96" s="91"/>
      <c r="W96" s="83"/>
      <c r="X96" s="591" t="s">
        <v>289</v>
      </c>
      <c r="Y96" s="604" t="s">
        <v>290</v>
      </c>
      <c r="Z96" s="604"/>
      <c r="AA96" s="91"/>
    </row>
    <row r="97" spans="16:27" x14ac:dyDescent="0.25">
      <c r="P97" s="83"/>
      <c r="Q97" s="591"/>
      <c r="R97" s="109">
        <f>R83</f>
        <v>110</v>
      </c>
      <c r="S97" s="109" t="s">
        <v>291</v>
      </c>
      <c r="T97" s="91"/>
      <c r="W97" s="83"/>
      <c r="X97" s="591"/>
      <c r="Y97" s="109">
        <f>Y83</f>
        <v>110</v>
      </c>
      <c r="Z97" s="109" t="s">
        <v>291</v>
      </c>
      <c r="AA97" s="91"/>
    </row>
    <row r="98" spans="16:27" x14ac:dyDescent="0.25">
      <c r="P98" s="83"/>
      <c r="Q98" s="591" t="s">
        <v>300</v>
      </c>
      <c r="R98" s="592" t="s">
        <v>279</v>
      </c>
      <c r="S98" s="592"/>
      <c r="T98" s="91"/>
      <c r="W98" s="83"/>
      <c r="X98" s="591" t="s">
        <v>300</v>
      </c>
      <c r="Y98" s="592" t="s">
        <v>279</v>
      </c>
      <c r="Z98" s="592"/>
      <c r="AA98" s="91"/>
    </row>
    <row r="99" spans="16:27" x14ac:dyDescent="0.25">
      <c r="P99" s="83"/>
      <c r="Q99" s="591"/>
      <c r="R99" s="109">
        <v>4</v>
      </c>
      <c r="S99" s="109"/>
      <c r="T99" s="91"/>
      <c r="W99" s="83"/>
      <c r="X99" s="591"/>
      <c r="Y99" s="109">
        <f>R99</f>
        <v>4</v>
      </c>
      <c r="Z99" s="109"/>
      <c r="AA99" s="91"/>
    </row>
    <row r="100" spans="16:27" x14ac:dyDescent="0.25">
      <c r="P100" s="83"/>
      <c r="Q100" s="591" t="s">
        <v>206</v>
      </c>
      <c r="R100" s="592" t="s">
        <v>280</v>
      </c>
      <c r="S100" s="592"/>
      <c r="T100" s="91"/>
      <c r="W100" s="83"/>
      <c r="X100" s="591" t="s">
        <v>206</v>
      </c>
      <c r="Y100" s="592" t="s">
        <v>280</v>
      </c>
      <c r="Z100" s="592"/>
      <c r="AA100" s="91"/>
    </row>
    <row r="101" spans="16:27" x14ac:dyDescent="0.25">
      <c r="P101" s="83"/>
      <c r="Q101" s="591"/>
      <c r="R101" s="106">
        <f>R66</f>
        <v>10.6</v>
      </c>
      <c r="S101" s="109" t="s">
        <v>86</v>
      </c>
      <c r="T101" s="91"/>
      <c r="W101" s="83"/>
      <c r="X101" s="591"/>
      <c r="Y101" s="106">
        <f>Y66</f>
        <v>10.6</v>
      </c>
      <c r="Z101" s="109" t="s">
        <v>86</v>
      </c>
      <c r="AA101" s="91"/>
    </row>
    <row r="102" spans="16:27" ht="15.75" thickBot="1" x14ac:dyDescent="0.3">
      <c r="P102" s="83"/>
      <c r="T102" s="91"/>
      <c r="W102" s="83"/>
      <c r="AA102" s="91"/>
    </row>
    <row r="103" spans="16:27" x14ac:dyDescent="0.25">
      <c r="P103" s="83"/>
      <c r="Q103" s="167" t="s">
        <v>294</v>
      </c>
      <c r="R103" s="174">
        <f>110%*((R95*R97*R99)/(24*R101*1000))</f>
        <v>2.0547169811320758E-2</v>
      </c>
      <c r="S103" s="169" t="s">
        <v>92</v>
      </c>
      <c r="T103" s="91"/>
      <c r="W103" s="83"/>
      <c r="X103" s="167" t="s">
        <v>294</v>
      </c>
      <c r="Y103" s="174">
        <f>110%*((Y95*Y97*Y99)/(24*Y101*1000))</f>
        <v>2.0547169811320758E-2</v>
      </c>
      <c r="Z103" s="169" t="s">
        <v>92</v>
      </c>
      <c r="AA103" s="91"/>
    </row>
    <row r="104" spans="16:27" ht="15.75" thickBot="1" x14ac:dyDescent="0.3">
      <c r="P104" s="83"/>
      <c r="Q104" s="170"/>
      <c r="R104" s="175">
        <f>R103*1000</f>
        <v>20.547169811320757</v>
      </c>
      <c r="S104" s="172" t="s">
        <v>282</v>
      </c>
      <c r="T104" s="91"/>
      <c r="W104" s="83"/>
      <c r="X104" s="170"/>
      <c r="Y104" s="175">
        <f>Y103*1000</f>
        <v>20.547169811320757</v>
      </c>
      <c r="Z104" s="172" t="s">
        <v>282</v>
      </c>
      <c r="AA104" s="91"/>
    </row>
    <row r="105" spans="16:27" ht="15.75" thickBot="1" x14ac:dyDescent="0.3">
      <c r="P105" s="166"/>
      <c r="Q105" s="92"/>
      <c r="R105" s="92"/>
      <c r="S105" s="92"/>
      <c r="T105" s="93"/>
      <c r="W105" s="166"/>
      <c r="X105" s="92"/>
      <c r="Y105" s="92"/>
      <c r="Z105" s="92"/>
      <c r="AA105" s="93"/>
    </row>
  </sheetData>
  <mergeCells count="124">
    <mergeCell ref="AC7:AG7"/>
    <mergeCell ref="AC6:AG6"/>
    <mergeCell ref="AH6:AL6"/>
    <mergeCell ref="AC5:AL5"/>
    <mergeCell ref="AC17:AG17"/>
    <mergeCell ref="AC20:AG20"/>
    <mergeCell ref="AC24:AG24"/>
    <mergeCell ref="AH7:AL7"/>
    <mergeCell ref="AH17:AL17"/>
    <mergeCell ref="AH20:AL20"/>
    <mergeCell ref="AH24:AL24"/>
    <mergeCell ref="X98:X99"/>
    <mergeCell ref="Y98:Z98"/>
    <mergeCell ref="X100:X101"/>
    <mergeCell ref="Y100:Z100"/>
    <mergeCell ref="X90:AA90"/>
    <mergeCell ref="X94:X95"/>
    <mergeCell ref="Y94:Z94"/>
    <mergeCell ref="X96:X97"/>
    <mergeCell ref="Y96:Z96"/>
    <mergeCell ref="X73:X74"/>
    <mergeCell ref="Y73:Z73"/>
    <mergeCell ref="X81:AA81"/>
    <mergeCell ref="X82:X83"/>
    <mergeCell ref="Y82:Z82"/>
    <mergeCell ref="X63:X64"/>
    <mergeCell ref="Y63:Z63"/>
    <mergeCell ref="X65:X66"/>
    <mergeCell ref="Y65:Z65"/>
    <mergeCell ref="X72:AA72"/>
    <mergeCell ref="X55:AA55"/>
    <mergeCell ref="X59:X60"/>
    <mergeCell ref="Y59:Z59"/>
    <mergeCell ref="X61:X62"/>
    <mergeCell ref="Y61:Z61"/>
    <mergeCell ref="X44:X45"/>
    <mergeCell ref="Y44:Z44"/>
    <mergeCell ref="X46:X47"/>
    <mergeCell ref="Y46:Z46"/>
    <mergeCell ref="X48:X49"/>
    <mergeCell ref="Y48:Z48"/>
    <mergeCell ref="X31:X32"/>
    <mergeCell ref="Y31:Z31"/>
    <mergeCell ref="X38:AA38"/>
    <mergeCell ref="X42:X43"/>
    <mergeCell ref="Y42:Z42"/>
    <mergeCell ref="X25:X26"/>
    <mergeCell ref="Y25:Z25"/>
    <mergeCell ref="X27:X28"/>
    <mergeCell ref="Y27:Z27"/>
    <mergeCell ref="X29:X30"/>
    <mergeCell ref="Y29:Z29"/>
    <mergeCell ref="X12:X13"/>
    <mergeCell ref="Y12:Z12"/>
    <mergeCell ref="X14:X15"/>
    <mergeCell ref="Y14:Z14"/>
    <mergeCell ref="X21:Z21"/>
    <mergeCell ref="W2:AA2"/>
    <mergeCell ref="X3:Z3"/>
    <mergeCell ref="X7:X8"/>
    <mergeCell ref="Y7:Z7"/>
    <mergeCell ref="X9:X10"/>
    <mergeCell ref="Y9:Z9"/>
    <mergeCell ref="Q98:Q99"/>
    <mergeCell ref="R98:S98"/>
    <mergeCell ref="Q100:Q101"/>
    <mergeCell ref="R100:S100"/>
    <mergeCell ref="P2:T2"/>
    <mergeCell ref="Q90:T90"/>
    <mergeCell ref="Q94:Q95"/>
    <mergeCell ref="R94:S94"/>
    <mergeCell ref="Q96:Q97"/>
    <mergeCell ref="R96:S96"/>
    <mergeCell ref="Q73:Q74"/>
    <mergeCell ref="R73:S73"/>
    <mergeCell ref="Q81:T81"/>
    <mergeCell ref="Q82:Q83"/>
    <mergeCell ref="R82:S82"/>
    <mergeCell ref="Q63:Q64"/>
    <mergeCell ref="R63:S63"/>
    <mergeCell ref="Q65:Q66"/>
    <mergeCell ref="R65:S65"/>
    <mergeCell ref="Q72:T72"/>
    <mergeCell ref="Q38:T38"/>
    <mergeCell ref="Q59:Q60"/>
    <mergeCell ref="R59:S59"/>
    <mergeCell ref="Q61:Q62"/>
    <mergeCell ref="R61:S61"/>
    <mergeCell ref="Q55:T55"/>
    <mergeCell ref="Q42:Q43"/>
    <mergeCell ref="R42:S42"/>
    <mergeCell ref="Q44:Q45"/>
    <mergeCell ref="R44:S44"/>
    <mergeCell ref="Q46:Q47"/>
    <mergeCell ref="R46:S46"/>
    <mergeCell ref="Q48:Q49"/>
    <mergeCell ref="R48:S48"/>
    <mergeCell ref="Q31:Q32"/>
    <mergeCell ref="R31:S31"/>
    <mergeCell ref="Q21:S21"/>
    <mergeCell ref="Q25:Q26"/>
    <mergeCell ref="R25:S25"/>
    <mergeCell ref="Q27:Q28"/>
    <mergeCell ref="R27:S27"/>
    <mergeCell ref="Q29:Q30"/>
    <mergeCell ref="R29:S29"/>
    <mergeCell ref="Q9:Q10"/>
    <mergeCell ref="Q12:Q13"/>
    <mergeCell ref="Q14:Q15"/>
    <mergeCell ref="R9:S9"/>
    <mergeCell ref="R12:S12"/>
    <mergeCell ref="R14:S14"/>
    <mergeCell ref="M4:N4"/>
    <mergeCell ref="B2:N2"/>
    <mergeCell ref="Q3:S3"/>
    <mergeCell ref="R7:S7"/>
    <mergeCell ref="Q7:Q8"/>
    <mergeCell ref="C4:D4"/>
    <mergeCell ref="E4:F4"/>
    <mergeCell ref="G4:H4"/>
    <mergeCell ref="C3:H3"/>
    <mergeCell ref="I3:N3"/>
    <mergeCell ref="I4:J4"/>
    <mergeCell ref="K4:L4"/>
  </mergeCells>
  <phoneticPr fontId="30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B2FC7-2E1E-4854-A2C0-0445FD8383C3}">
  <dimension ref="B1:T142"/>
  <sheetViews>
    <sheetView zoomScale="85" zoomScaleNormal="85" workbookViewId="0">
      <selection activeCell="C8" sqref="C8"/>
    </sheetView>
  </sheetViews>
  <sheetFormatPr defaultRowHeight="15" x14ac:dyDescent="0.25"/>
  <cols>
    <col min="2" max="2" width="23.85546875" bestFit="1" customWidth="1"/>
    <col min="3" max="3" width="9.7109375" customWidth="1"/>
    <col min="4" max="4" width="4.140625" bestFit="1" customWidth="1"/>
    <col min="5" max="5" width="9.7109375" customWidth="1"/>
    <col min="6" max="6" width="4.140625" bestFit="1" customWidth="1"/>
    <col min="8" max="8" width="10.28515625" customWidth="1"/>
    <col min="11" max="11" width="11.5703125" bestFit="1" customWidth="1"/>
    <col min="12" max="12" width="13.140625" bestFit="1" customWidth="1"/>
    <col min="13" max="13" width="4.7109375" customWidth="1"/>
    <col min="14" max="14" width="4.7109375" style="221" customWidth="1"/>
    <col min="15" max="15" width="10.28515625" customWidth="1"/>
    <col min="18" max="18" width="11.5703125" bestFit="1" customWidth="1"/>
  </cols>
  <sheetData>
    <row r="1" spans="2:19" ht="15.75" thickBot="1" x14ac:dyDescent="0.3"/>
    <row r="2" spans="2:19" ht="15.75" thickBot="1" x14ac:dyDescent="0.3">
      <c r="H2" s="630" t="s">
        <v>15</v>
      </c>
      <c r="I2" s="631"/>
      <c r="J2" s="631"/>
      <c r="K2" s="631"/>
      <c r="L2" s="632"/>
      <c r="O2" s="633" t="s">
        <v>16</v>
      </c>
      <c r="P2" s="634"/>
      <c r="Q2" s="634"/>
      <c r="R2" s="634"/>
      <c r="S2" s="635"/>
    </row>
    <row r="3" spans="2:19" ht="15.75" thickBot="1" x14ac:dyDescent="0.3">
      <c r="B3" s="595" t="s">
        <v>301</v>
      </c>
      <c r="C3" s="596"/>
      <c r="D3" s="596"/>
      <c r="E3" s="596"/>
      <c r="F3" s="597"/>
      <c r="H3" s="625" t="s">
        <v>302</v>
      </c>
      <c r="I3" s="626"/>
      <c r="J3" s="626"/>
      <c r="K3" s="626"/>
      <c r="L3" s="627"/>
      <c r="O3" s="619" t="s">
        <v>341</v>
      </c>
      <c r="P3" s="620"/>
      <c r="Q3" s="620"/>
      <c r="R3" s="620"/>
      <c r="S3" s="621"/>
    </row>
    <row r="4" spans="2:19" x14ac:dyDescent="0.25">
      <c r="B4" s="204" t="s">
        <v>245</v>
      </c>
      <c r="C4" s="528" t="s">
        <v>155</v>
      </c>
      <c r="D4" s="529"/>
      <c r="E4" s="528" t="s">
        <v>156</v>
      </c>
      <c r="F4" s="530"/>
      <c r="H4" s="82" t="s">
        <v>306</v>
      </c>
      <c r="I4" s="164"/>
      <c r="J4" s="164"/>
      <c r="K4" s="164"/>
      <c r="L4" s="165"/>
      <c r="O4" s="82" t="s">
        <v>306</v>
      </c>
      <c r="P4" s="164"/>
      <c r="Q4" s="164"/>
      <c r="R4" s="164"/>
      <c r="S4" s="165"/>
    </row>
    <row r="5" spans="2:19" ht="30" x14ac:dyDescent="0.25">
      <c r="B5" s="217" t="s">
        <v>328</v>
      </c>
      <c r="C5" s="195">
        <f>J55</f>
        <v>24.602181648663784</v>
      </c>
      <c r="D5" s="179" t="s">
        <v>92</v>
      </c>
      <c r="E5" s="231">
        <f>R112</f>
        <v>47.70139696660096</v>
      </c>
      <c r="F5" s="77" t="s">
        <v>92</v>
      </c>
      <c r="H5" s="83"/>
      <c r="L5" s="91"/>
      <c r="O5" s="83"/>
      <c r="S5" s="91"/>
    </row>
    <row r="6" spans="2:19" x14ac:dyDescent="0.25">
      <c r="B6" s="162" t="s">
        <v>303</v>
      </c>
      <c r="C6" s="195">
        <f>J76</f>
        <v>7.7331848153165641</v>
      </c>
      <c r="D6" s="179" t="s">
        <v>92</v>
      </c>
      <c r="E6" s="231">
        <f>Q132</f>
        <v>6.8198209961430116</v>
      </c>
      <c r="F6" s="77" t="s">
        <v>92</v>
      </c>
      <c r="H6" s="83"/>
      <c r="I6" s="591" t="s">
        <v>307</v>
      </c>
      <c r="J6" s="592" t="s">
        <v>308</v>
      </c>
      <c r="K6" s="592"/>
      <c r="L6" s="91"/>
      <c r="O6" s="83"/>
      <c r="P6" s="591" t="s">
        <v>307</v>
      </c>
      <c r="Q6" s="592" t="s">
        <v>308</v>
      </c>
      <c r="R6" s="592"/>
      <c r="S6" s="91"/>
    </row>
    <row r="7" spans="2:19" x14ac:dyDescent="0.25">
      <c r="B7" s="162" t="s">
        <v>370</v>
      </c>
      <c r="C7" s="195">
        <f>J81</f>
        <v>2.2999999999999998</v>
      </c>
      <c r="D7" s="179" t="s">
        <v>92</v>
      </c>
      <c r="E7" s="231">
        <f>Q141</f>
        <v>12.949017468418631</v>
      </c>
      <c r="F7" s="77" t="s">
        <v>92</v>
      </c>
      <c r="H7" s="83"/>
      <c r="I7" s="591"/>
      <c r="J7" s="106">
        <f>'Ukuran Utama Kapal'!E138</f>
        <v>26.666949258758788</v>
      </c>
      <c r="K7" s="109" t="s">
        <v>71</v>
      </c>
      <c r="L7" s="91"/>
      <c r="O7" s="83"/>
      <c r="P7" s="591"/>
      <c r="Q7" s="106">
        <f>'Ukuran Utama Kapal'!T138</f>
        <v>23.367196803509792</v>
      </c>
      <c r="R7" s="109" t="s">
        <v>71</v>
      </c>
      <c r="S7" s="91"/>
    </row>
    <row r="8" spans="2:19" ht="15.75" thickBot="1" x14ac:dyDescent="0.3">
      <c r="B8" s="163" t="s">
        <v>373</v>
      </c>
      <c r="C8" s="195">
        <f>J83</f>
        <v>10.649017468418631</v>
      </c>
      <c r="D8" s="179" t="s">
        <v>92</v>
      </c>
      <c r="E8" s="219">
        <f>Q139</f>
        <v>10.649017468418631</v>
      </c>
      <c r="F8" s="181" t="s">
        <v>92</v>
      </c>
      <c r="H8" s="83"/>
      <c r="I8" s="591" t="s">
        <v>72</v>
      </c>
      <c r="J8" s="592" t="s">
        <v>309</v>
      </c>
      <c r="K8" s="592"/>
      <c r="L8" s="91"/>
      <c r="O8" s="83"/>
      <c r="P8" s="591" t="s">
        <v>342</v>
      </c>
      <c r="Q8" s="592" t="s">
        <v>343</v>
      </c>
      <c r="R8" s="592"/>
      <c r="S8" s="91"/>
    </row>
    <row r="9" spans="2:19" ht="15.75" thickBot="1" x14ac:dyDescent="0.3">
      <c r="H9" s="83"/>
      <c r="I9" s="591"/>
      <c r="J9" s="106">
        <f>'Ukuran Utama Kapal'!E141</f>
        <v>7.5693863136387147</v>
      </c>
      <c r="K9" s="109" t="s">
        <v>71</v>
      </c>
      <c r="L9" s="91"/>
      <c r="O9" s="83"/>
      <c r="P9" s="591"/>
      <c r="Q9" s="106">
        <f>'Ukuran Utama Kapal'!T152</f>
        <v>1.9900832967721778</v>
      </c>
      <c r="R9" s="109" t="s">
        <v>71</v>
      </c>
      <c r="S9" s="91"/>
    </row>
    <row r="10" spans="2:19" ht="15.75" thickBot="1" x14ac:dyDescent="0.3">
      <c r="B10" s="205" t="s">
        <v>305</v>
      </c>
      <c r="C10" s="213">
        <f>SUM(C5:C8)</f>
        <v>45.284383932398981</v>
      </c>
      <c r="D10" s="206" t="s">
        <v>92</v>
      </c>
      <c r="E10" s="206">
        <f>SUM(E5:E8)</f>
        <v>78.119252899581241</v>
      </c>
      <c r="F10" s="207" t="s">
        <v>92</v>
      </c>
      <c r="H10" s="83"/>
      <c r="I10" s="591" t="s">
        <v>76</v>
      </c>
      <c r="J10" s="592" t="s">
        <v>310</v>
      </c>
      <c r="K10" s="592"/>
      <c r="L10" s="91"/>
      <c r="O10" s="83"/>
      <c r="P10" s="591" t="s">
        <v>76</v>
      </c>
      <c r="Q10" s="592" t="s">
        <v>310</v>
      </c>
      <c r="R10" s="592"/>
      <c r="S10" s="91"/>
    </row>
    <row r="11" spans="2:19" x14ac:dyDescent="0.25">
      <c r="H11" s="83"/>
      <c r="I11" s="591"/>
      <c r="J11" s="106">
        <f>'Ukuran Utama Kapal'!E143</f>
        <v>1.4230506759623736</v>
      </c>
      <c r="K11" s="109" t="s">
        <v>71</v>
      </c>
      <c r="L11" s="91"/>
      <c r="O11" s="83"/>
      <c r="P11" s="591"/>
      <c r="Q11" s="106">
        <f>'Ukuran Utama Kapal'!T143</f>
        <v>3.4407897210905665</v>
      </c>
      <c r="R11" s="109" t="s">
        <v>71</v>
      </c>
      <c r="S11" s="91"/>
    </row>
    <row r="12" spans="2:19" x14ac:dyDescent="0.25">
      <c r="H12" s="83"/>
      <c r="I12" s="591" t="s">
        <v>75</v>
      </c>
      <c r="J12" s="592" t="s">
        <v>311</v>
      </c>
      <c r="K12" s="592"/>
      <c r="L12" s="91"/>
      <c r="O12" s="83"/>
      <c r="P12" s="591" t="s">
        <v>75</v>
      </c>
      <c r="Q12" s="592" t="s">
        <v>311</v>
      </c>
      <c r="R12" s="592"/>
      <c r="S12" s="91"/>
    </row>
    <row r="13" spans="2:19" x14ac:dyDescent="0.25">
      <c r="H13" s="83"/>
      <c r="I13" s="591"/>
      <c r="J13" s="106">
        <f>'Ukuran Utama Kapal'!E142</f>
        <v>2.6874201803001525</v>
      </c>
      <c r="K13" s="109" t="s">
        <v>71</v>
      </c>
      <c r="L13" s="91"/>
      <c r="O13" s="83"/>
      <c r="P13" s="591"/>
      <c r="Q13" s="106">
        <f>'Ukuran Utama Kapal'!T142</f>
        <v>6.0842400501410392</v>
      </c>
      <c r="R13" s="109" t="s">
        <v>71</v>
      </c>
      <c r="S13" s="91"/>
    </row>
    <row r="14" spans="2:19" x14ac:dyDescent="0.25">
      <c r="H14" s="83"/>
      <c r="I14" s="591" t="s">
        <v>312</v>
      </c>
      <c r="J14" s="592" t="s">
        <v>313</v>
      </c>
      <c r="K14" s="592"/>
      <c r="L14" s="91"/>
      <c r="O14" s="83"/>
      <c r="P14" s="591" t="s">
        <v>312</v>
      </c>
      <c r="Q14" s="592" t="s">
        <v>313</v>
      </c>
      <c r="R14" s="592"/>
      <c r="S14" s="91"/>
    </row>
    <row r="15" spans="2:19" x14ac:dyDescent="0.25">
      <c r="H15" s="83"/>
      <c r="I15" s="591"/>
      <c r="J15" s="106">
        <v>20.77</v>
      </c>
      <c r="K15" s="109" t="s">
        <v>71</v>
      </c>
      <c r="L15" s="91"/>
      <c r="O15" s="83"/>
      <c r="P15" s="591"/>
      <c r="Q15" s="106">
        <v>20.77</v>
      </c>
      <c r="R15" s="109" t="s">
        <v>71</v>
      </c>
      <c r="S15" s="91"/>
    </row>
    <row r="16" spans="2:19" x14ac:dyDescent="0.25">
      <c r="H16" s="83"/>
      <c r="I16" s="591" t="s">
        <v>314</v>
      </c>
      <c r="J16" s="628" t="s">
        <v>399</v>
      </c>
      <c r="K16" s="629"/>
      <c r="L16" s="91"/>
      <c r="O16" s="83"/>
      <c r="P16" s="591" t="s">
        <v>314</v>
      </c>
      <c r="Q16" s="592" t="s">
        <v>399</v>
      </c>
      <c r="R16" s="592"/>
      <c r="S16" s="91"/>
    </row>
    <row r="17" spans="8:19" x14ac:dyDescent="0.25">
      <c r="H17" s="83"/>
      <c r="I17" s="591"/>
      <c r="J17" s="106">
        <v>2.5</v>
      </c>
      <c r="K17" s="109" t="s">
        <v>71</v>
      </c>
      <c r="L17" s="91"/>
      <c r="O17" s="83"/>
      <c r="P17" s="591"/>
      <c r="Q17" s="106">
        <v>2.5</v>
      </c>
      <c r="R17" s="109" t="s">
        <v>71</v>
      </c>
      <c r="S17" s="91"/>
    </row>
    <row r="18" spans="8:19" ht="15.75" thickBot="1" x14ac:dyDescent="0.3">
      <c r="H18" s="83"/>
      <c r="L18" s="91"/>
      <c r="O18" s="83"/>
      <c r="S18" s="91"/>
    </row>
    <row r="19" spans="8:19" ht="15.75" thickBot="1" x14ac:dyDescent="0.3">
      <c r="H19" s="83"/>
      <c r="I19" s="208" t="s">
        <v>316</v>
      </c>
      <c r="J19" s="206">
        <f>(J7*(J9+J11))+(0.85*J7*(J13-J11))+(0.85*(J15*J17))+0</f>
        <v>312.59645671830077</v>
      </c>
      <c r="K19" s="207"/>
      <c r="L19" s="91"/>
      <c r="O19" s="83"/>
      <c r="P19" s="208" t="s">
        <v>316</v>
      </c>
      <c r="Q19" s="206">
        <f>(Q7*(Q9+Q11))+(0.85*Q7*(Q13-Q11))+(2*(0.85*(Q15*Q17)))</f>
        <v>267.68129909061122</v>
      </c>
      <c r="R19" s="207"/>
      <c r="S19" s="91"/>
    </row>
    <row r="20" spans="8:19" ht="15.75" thickBot="1" x14ac:dyDescent="0.3">
      <c r="H20" s="166"/>
      <c r="I20" s="92"/>
      <c r="J20" s="92"/>
      <c r="K20" s="92"/>
      <c r="L20" s="93"/>
      <c r="O20" s="166"/>
      <c r="P20" s="92"/>
      <c r="Q20" s="92"/>
      <c r="R20" s="92"/>
      <c r="S20" s="93"/>
    </row>
    <row r="21" spans="8:19" x14ac:dyDescent="0.25">
      <c r="H21" s="82" t="s">
        <v>317</v>
      </c>
      <c r="I21" s="164"/>
      <c r="J21" s="164"/>
      <c r="K21" s="164"/>
      <c r="L21" s="165"/>
      <c r="O21" s="82" t="s">
        <v>317</v>
      </c>
      <c r="P21" s="164"/>
      <c r="Q21" s="164"/>
      <c r="R21" s="164"/>
      <c r="S21" s="165"/>
    </row>
    <row r="22" spans="8:19" x14ac:dyDescent="0.25">
      <c r="H22" s="83"/>
      <c r="L22" s="91"/>
      <c r="O22" s="83"/>
      <c r="S22" s="91"/>
    </row>
    <row r="23" spans="8:19" x14ac:dyDescent="0.25">
      <c r="H23" s="83"/>
      <c r="L23" s="91"/>
      <c r="O23" s="83"/>
      <c r="S23" s="91"/>
    </row>
    <row r="24" spans="8:19" x14ac:dyDescent="0.25">
      <c r="H24" s="83"/>
      <c r="L24" s="91"/>
      <c r="O24" s="83"/>
      <c r="S24" s="91"/>
    </row>
    <row r="25" spans="8:19" x14ac:dyDescent="0.25">
      <c r="H25" s="83"/>
      <c r="L25" s="91"/>
      <c r="O25" s="83"/>
      <c r="S25" s="91"/>
    </row>
    <row r="26" spans="8:19" x14ac:dyDescent="0.25">
      <c r="H26" s="83"/>
      <c r="L26" s="91"/>
      <c r="O26" s="83"/>
      <c r="S26" s="91"/>
    </row>
    <row r="27" spans="8:19" x14ac:dyDescent="0.25">
      <c r="H27" s="83"/>
      <c r="L27" s="91"/>
      <c r="O27" s="83"/>
      <c r="S27" s="91"/>
    </row>
    <row r="28" spans="8:19" x14ac:dyDescent="0.25">
      <c r="H28" s="83"/>
      <c r="L28" s="91"/>
      <c r="O28" s="83"/>
      <c r="S28" s="91"/>
    </row>
    <row r="29" spans="8:19" x14ac:dyDescent="0.25">
      <c r="H29" s="83"/>
      <c r="L29" s="91"/>
      <c r="O29" s="83"/>
      <c r="S29" s="91"/>
    </row>
    <row r="30" spans="8:19" x14ac:dyDescent="0.25">
      <c r="H30" s="83"/>
      <c r="L30" s="91"/>
      <c r="O30" s="83"/>
      <c r="S30" s="91"/>
    </row>
    <row r="31" spans="8:19" x14ac:dyDescent="0.25">
      <c r="H31" s="83"/>
      <c r="L31" s="91"/>
      <c r="O31" s="83"/>
      <c r="S31" s="91"/>
    </row>
    <row r="32" spans="8:19" x14ac:dyDescent="0.25">
      <c r="H32" s="83"/>
      <c r="L32" s="91"/>
      <c r="O32" s="83"/>
      <c r="S32" s="91"/>
    </row>
    <row r="33" spans="8:19" x14ac:dyDescent="0.25">
      <c r="H33" s="83"/>
      <c r="I33" s="209" t="s">
        <v>318</v>
      </c>
      <c r="J33" s="210">
        <v>4.4999999999999998E-2</v>
      </c>
      <c r="K33" s="160"/>
      <c r="L33" s="91"/>
      <c r="O33" s="83"/>
      <c r="P33" s="209" t="s">
        <v>318</v>
      </c>
      <c r="Q33" s="210">
        <v>0.04</v>
      </c>
      <c r="R33" s="160"/>
      <c r="S33" s="91"/>
    </row>
    <row r="34" spans="8:19" x14ac:dyDescent="0.25">
      <c r="H34" s="83"/>
      <c r="I34" s="209" t="s">
        <v>316</v>
      </c>
      <c r="J34" s="210">
        <f>J19</f>
        <v>312.59645671830077</v>
      </c>
      <c r="K34" s="160"/>
      <c r="L34" s="91"/>
      <c r="O34" s="83"/>
      <c r="P34" s="209" t="s">
        <v>316</v>
      </c>
      <c r="Q34" s="210">
        <f>Q19</f>
        <v>267.68129909061122</v>
      </c>
      <c r="R34" s="160"/>
      <c r="S34" s="91"/>
    </row>
    <row r="35" spans="8:19" ht="15.75" thickBot="1" x14ac:dyDescent="0.3">
      <c r="H35" s="83"/>
      <c r="L35" s="91"/>
      <c r="O35" s="83"/>
      <c r="S35" s="91"/>
    </row>
    <row r="36" spans="8:19" ht="15.75" thickBot="1" x14ac:dyDescent="0.3">
      <c r="H36" s="83"/>
      <c r="I36" s="208" t="s">
        <v>319</v>
      </c>
      <c r="J36" s="206">
        <f>J33*J34^1.36</f>
        <v>111.27326288091932</v>
      </c>
      <c r="K36" s="207" t="s">
        <v>92</v>
      </c>
      <c r="L36" s="91"/>
      <c r="O36" s="83"/>
      <c r="P36" s="208" t="s">
        <v>319</v>
      </c>
      <c r="Q36" s="206">
        <f>Q33*Q34^1.36</f>
        <v>80.097786384336416</v>
      </c>
      <c r="R36" s="207" t="s">
        <v>92</v>
      </c>
      <c r="S36" s="91"/>
    </row>
    <row r="37" spans="8:19" ht="15.75" thickBot="1" x14ac:dyDescent="0.3">
      <c r="H37" s="166"/>
      <c r="I37" s="92"/>
      <c r="J37" s="92"/>
      <c r="K37" s="92"/>
      <c r="L37" s="93"/>
      <c r="O37" s="166"/>
      <c r="P37" s="92"/>
      <c r="Q37" s="92"/>
      <c r="R37" s="92"/>
      <c r="S37" s="93"/>
    </row>
    <row r="38" spans="8:19" x14ac:dyDescent="0.25">
      <c r="H38" s="82" t="s">
        <v>321</v>
      </c>
      <c r="I38" s="164"/>
      <c r="J38" s="164"/>
      <c r="K38" s="164"/>
      <c r="L38" s="165"/>
      <c r="O38" s="82" t="s">
        <v>321</v>
      </c>
      <c r="P38" s="164"/>
      <c r="Q38" s="164"/>
      <c r="R38" s="164"/>
      <c r="S38" s="165"/>
    </row>
    <row r="39" spans="8:19" x14ac:dyDescent="0.25">
      <c r="H39" s="83"/>
      <c r="L39" s="91"/>
      <c r="O39" s="83"/>
      <c r="S39" s="91"/>
    </row>
    <row r="40" spans="8:19" x14ac:dyDescent="0.25">
      <c r="H40" s="83"/>
      <c r="L40" s="91"/>
      <c r="O40" s="83"/>
      <c r="S40" s="91"/>
    </row>
    <row r="41" spans="8:19" x14ac:dyDescent="0.25">
      <c r="H41" s="83"/>
      <c r="I41" s="591" t="s">
        <v>88</v>
      </c>
      <c r="J41" s="592" t="s">
        <v>322</v>
      </c>
      <c r="K41" s="592"/>
      <c r="L41" s="91"/>
      <c r="O41" s="83"/>
      <c r="P41" s="591" t="s">
        <v>88</v>
      </c>
      <c r="Q41" s="592" t="s">
        <v>322</v>
      </c>
      <c r="R41" s="592"/>
      <c r="S41" s="91"/>
    </row>
    <row r="42" spans="8:19" x14ac:dyDescent="0.25">
      <c r="H42" s="83"/>
      <c r="I42" s="591"/>
      <c r="J42" s="106">
        <f>'Ukuran Utama Kapal'!E146</f>
        <v>0.57599999999999996</v>
      </c>
      <c r="K42" s="109"/>
      <c r="L42" s="91"/>
      <c r="O42" s="83"/>
      <c r="P42" s="591"/>
      <c r="Q42" s="106">
        <f>'Ukuran Utama Kapal'!T147</f>
        <v>0.45400000000000001</v>
      </c>
      <c r="R42" s="109"/>
      <c r="S42" s="91"/>
    </row>
    <row r="43" spans="8:19" x14ac:dyDescent="0.25">
      <c r="H43" s="83"/>
      <c r="I43" s="591" t="s">
        <v>76</v>
      </c>
      <c r="J43" s="592" t="s">
        <v>310</v>
      </c>
      <c r="K43" s="592"/>
      <c r="L43" s="91"/>
      <c r="O43" s="83"/>
      <c r="P43" s="591" t="s">
        <v>76</v>
      </c>
      <c r="Q43" s="592" t="s">
        <v>310</v>
      </c>
      <c r="R43" s="592"/>
      <c r="S43" s="91"/>
    </row>
    <row r="44" spans="8:19" x14ac:dyDescent="0.25">
      <c r="H44" s="83"/>
      <c r="I44" s="591"/>
      <c r="J44" s="106">
        <f>J11</f>
        <v>1.4230506759623736</v>
      </c>
      <c r="K44" s="109" t="s">
        <v>71</v>
      </c>
      <c r="L44" s="91"/>
      <c r="O44" s="83"/>
      <c r="P44" s="591"/>
      <c r="Q44" s="106">
        <f>Q11</f>
        <v>3.4407897210905665</v>
      </c>
      <c r="R44" s="109" t="s">
        <v>71</v>
      </c>
      <c r="S44" s="91"/>
    </row>
    <row r="45" spans="8:19" x14ac:dyDescent="0.25">
      <c r="H45" s="83"/>
      <c r="I45" s="591" t="s">
        <v>75</v>
      </c>
      <c r="J45" s="592" t="s">
        <v>311</v>
      </c>
      <c r="K45" s="592"/>
      <c r="L45" s="91"/>
      <c r="O45" s="83"/>
      <c r="P45" s="591" t="s">
        <v>75</v>
      </c>
      <c r="Q45" s="592" t="s">
        <v>311</v>
      </c>
      <c r="R45" s="592"/>
      <c r="S45" s="91"/>
    </row>
    <row r="46" spans="8:19" x14ac:dyDescent="0.25">
      <c r="H46" s="83"/>
      <c r="I46" s="591"/>
      <c r="J46" s="106">
        <f>J13</f>
        <v>2.6874201803001525</v>
      </c>
      <c r="K46" s="109" t="s">
        <v>71</v>
      </c>
      <c r="L46" s="91"/>
      <c r="O46" s="83"/>
      <c r="P46" s="591"/>
      <c r="Q46" s="106">
        <f>Q13</f>
        <v>6.0842400501410392</v>
      </c>
      <c r="R46" s="109" t="s">
        <v>71</v>
      </c>
      <c r="S46" s="91"/>
    </row>
    <row r="47" spans="8:19" ht="15.75" thickBot="1" x14ac:dyDescent="0.3">
      <c r="H47" s="83"/>
      <c r="L47" s="91"/>
      <c r="O47" s="83"/>
      <c r="S47" s="91"/>
    </row>
    <row r="48" spans="8:19" ht="15.75" thickBot="1" x14ac:dyDescent="0.3">
      <c r="H48" s="83"/>
      <c r="I48" s="208" t="s">
        <v>320</v>
      </c>
      <c r="J48" s="206">
        <f>(J36*(1+(0.5*(((J42+(1-J42)*(((0.8*J46)-J44)/(3*J44)))))-0.7)))</f>
        <v>69.44520889680355</v>
      </c>
      <c r="K48" s="207" t="s">
        <v>92</v>
      </c>
      <c r="L48" s="91" t="s">
        <v>324</v>
      </c>
      <c r="O48" s="83"/>
      <c r="P48" s="208" t="s">
        <v>320</v>
      </c>
      <c r="Q48" s="206">
        <f>(Q36*(1+(0.5*(((Q42+(1-Q42)*(((0.8*Q46)-Q44)/(3*Q44)))))-0.7)))</f>
        <v>45.233618594838312</v>
      </c>
      <c r="R48" s="207" t="s">
        <v>92</v>
      </c>
      <c r="S48" s="91" t="s">
        <v>324</v>
      </c>
    </row>
    <row r="49" spans="7:20" ht="15.75" thickBot="1" x14ac:dyDescent="0.3">
      <c r="H49" s="166"/>
      <c r="I49" s="92"/>
      <c r="J49" s="92"/>
      <c r="K49" s="92"/>
      <c r="L49" s="93"/>
      <c r="O49" s="166"/>
      <c r="P49" s="92"/>
      <c r="Q49" s="92"/>
      <c r="R49" s="92"/>
      <c r="S49" s="93"/>
    </row>
    <row r="50" spans="7:20" x14ac:dyDescent="0.25">
      <c r="H50" s="82" t="s">
        <v>323</v>
      </c>
      <c r="I50" s="164"/>
      <c r="J50" s="164"/>
      <c r="K50" s="164"/>
      <c r="L50" s="165"/>
      <c r="O50" s="82" t="s">
        <v>344</v>
      </c>
      <c r="P50" s="164"/>
      <c r="Q50" s="164"/>
      <c r="R50" s="164"/>
      <c r="S50" s="165"/>
    </row>
    <row r="51" spans="7:20" x14ac:dyDescent="0.25">
      <c r="H51" s="83"/>
      <c r="I51" s="211" t="s">
        <v>325</v>
      </c>
      <c r="J51" s="109">
        <v>7.85</v>
      </c>
      <c r="K51" s="109" t="s">
        <v>274</v>
      </c>
      <c r="L51" s="91"/>
      <c r="O51" s="83"/>
      <c r="P51" s="211" t="s">
        <v>325</v>
      </c>
      <c r="Q51" s="109">
        <v>7.85</v>
      </c>
      <c r="R51" s="109" t="s">
        <v>274</v>
      </c>
      <c r="S51" s="91"/>
    </row>
    <row r="52" spans="7:20" x14ac:dyDescent="0.25">
      <c r="H52" s="83"/>
      <c r="I52" s="212" t="s">
        <v>326</v>
      </c>
      <c r="J52" s="106">
        <v>2.7</v>
      </c>
      <c r="K52" s="109" t="s">
        <v>274</v>
      </c>
      <c r="L52" s="91"/>
      <c r="O52" s="83"/>
      <c r="P52" s="212" t="s">
        <v>326</v>
      </c>
      <c r="Q52" s="106">
        <v>2.7</v>
      </c>
      <c r="R52" s="109" t="s">
        <v>274</v>
      </c>
      <c r="S52" s="91"/>
    </row>
    <row r="53" spans="7:20" x14ac:dyDescent="0.25">
      <c r="H53" s="83"/>
      <c r="I53" s="225"/>
      <c r="J53" s="226"/>
      <c r="L53" s="91"/>
      <c r="O53" s="83"/>
      <c r="P53" s="211" t="s">
        <v>345</v>
      </c>
      <c r="Q53" s="109">
        <v>2</v>
      </c>
      <c r="R53" s="109"/>
      <c r="S53" s="91"/>
    </row>
    <row r="54" spans="7:20" ht="15.75" thickBot="1" x14ac:dyDescent="0.3">
      <c r="H54" s="83"/>
      <c r="L54" s="91"/>
      <c r="O54" s="83"/>
      <c r="S54" s="91"/>
    </row>
    <row r="55" spans="7:20" ht="15.75" thickBot="1" x14ac:dyDescent="0.3">
      <c r="G55" s="227">
        <f>'Ukuran Utama Kapal'!E150</f>
        <v>168</v>
      </c>
      <c r="H55" s="83"/>
      <c r="I55" s="205" t="s">
        <v>320</v>
      </c>
      <c r="J55" s="214">
        <f>103%*(J48/J51*J52)</f>
        <v>24.602181648663784</v>
      </c>
      <c r="K55" s="215" t="s">
        <v>92</v>
      </c>
      <c r="L55" s="216" t="s">
        <v>327</v>
      </c>
      <c r="O55" s="83"/>
      <c r="P55" s="205" t="s">
        <v>320</v>
      </c>
      <c r="Q55" s="214">
        <f>(Q48/Q51*Q52)*Q53</f>
        <v>31.116119797723172</v>
      </c>
      <c r="R55" s="215" t="s">
        <v>92</v>
      </c>
      <c r="S55" s="216" t="s">
        <v>327</v>
      </c>
      <c r="T55" s="227">
        <f>'Ukuran Utama Kapal'!T151</f>
        <v>168</v>
      </c>
    </row>
    <row r="56" spans="7:20" ht="15.75" thickBot="1" x14ac:dyDescent="0.3">
      <c r="G56" s="228">
        <f>J55/G55*100%</f>
        <v>0.14644155743252252</v>
      </c>
      <c r="H56" s="166"/>
      <c r="I56" s="92"/>
      <c r="J56" s="92"/>
      <c r="K56" s="92"/>
      <c r="L56" s="93" t="s">
        <v>351</v>
      </c>
      <c r="O56" s="166"/>
      <c r="P56" s="92"/>
      <c r="Q56" s="92"/>
      <c r="R56" s="92"/>
      <c r="S56" s="93"/>
      <c r="T56" s="228">
        <f>Q55/T55*100%</f>
        <v>0.18521499879597125</v>
      </c>
    </row>
    <row r="57" spans="7:20" ht="15.75" thickBot="1" x14ac:dyDescent="0.3">
      <c r="O57" s="206"/>
      <c r="P57" s="206"/>
      <c r="Q57" s="206"/>
      <c r="R57" s="206"/>
      <c r="S57" s="206"/>
    </row>
    <row r="58" spans="7:20" ht="15.75" thickBot="1" x14ac:dyDescent="0.3">
      <c r="H58" s="625" t="s">
        <v>303</v>
      </c>
      <c r="I58" s="626"/>
      <c r="J58" s="626"/>
      <c r="K58" s="626"/>
      <c r="L58" s="627"/>
      <c r="O58" s="619" t="s">
        <v>348</v>
      </c>
      <c r="P58" s="620"/>
      <c r="Q58" s="620"/>
      <c r="R58" s="620"/>
      <c r="S58" s="621"/>
    </row>
    <row r="59" spans="7:20" x14ac:dyDescent="0.25">
      <c r="H59" s="82" t="s">
        <v>329</v>
      </c>
      <c r="I59" s="164"/>
      <c r="J59" s="164"/>
      <c r="K59" s="164"/>
      <c r="L59" s="165"/>
      <c r="O59" s="82" t="s">
        <v>306</v>
      </c>
      <c r="P59" s="164"/>
      <c r="Q59" s="164"/>
      <c r="R59" s="164"/>
      <c r="S59" s="165"/>
    </row>
    <row r="60" spans="7:20" x14ac:dyDescent="0.25">
      <c r="H60" s="83"/>
      <c r="L60" s="91"/>
      <c r="O60" s="83"/>
      <c r="S60" s="91"/>
    </row>
    <row r="61" spans="7:20" x14ac:dyDescent="0.25">
      <c r="H61" s="83"/>
      <c r="L61" s="91"/>
      <c r="O61" s="83"/>
      <c r="P61" s="591" t="s">
        <v>307</v>
      </c>
      <c r="Q61" s="592" t="s">
        <v>308</v>
      </c>
      <c r="R61" s="592"/>
      <c r="S61" s="91"/>
    </row>
    <row r="62" spans="7:20" x14ac:dyDescent="0.25">
      <c r="H62" s="83"/>
      <c r="I62" s="591" t="s">
        <v>307</v>
      </c>
      <c r="J62" s="592" t="s">
        <v>308</v>
      </c>
      <c r="K62" s="592"/>
      <c r="L62" s="91"/>
      <c r="O62" s="83"/>
      <c r="P62" s="591"/>
      <c r="Q62" s="106">
        <f>Q7</f>
        <v>23.367196803509792</v>
      </c>
      <c r="R62" s="109" t="s">
        <v>71</v>
      </c>
      <c r="S62" s="91"/>
    </row>
    <row r="63" spans="7:20" x14ac:dyDescent="0.25">
      <c r="H63" s="83"/>
      <c r="I63" s="591"/>
      <c r="J63" s="106">
        <f>J7</f>
        <v>26.666949258758788</v>
      </c>
      <c r="K63" s="109" t="s">
        <v>71</v>
      </c>
      <c r="L63" s="91"/>
      <c r="O63" s="83"/>
      <c r="P63" s="591" t="s">
        <v>347</v>
      </c>
      <c r="Q63" s="592" t="s">
        <v>346</v>
      </c>
      <c r="R63" s="592"/>
      <c r="S63" s="91"/>
    </row>
    <row r="64" spans="7:20" x14ac:dyDescent="0.25">
      <c r="H64" s="83"/>
      <c r="I64" s="591" t="s">
        <v>72</v>
      </c>
      <c r="J64" s="592" t="s">
        <v>309</v>
      </c>
      <c r="K64" s="592"/>
      <c r="L64" s="91"/>
      <c r="O64" s="83"/>
      <c r="P64" s="591"/>
      <c r="Q64" s="106">
        <f>'Ukuran Utama Kapal'!T145</f>
        <v>8.2674000000000003</v>
      </c>
      <c r="R64" s="109" t="s">
        <v>71</v>
      </c>
      <c r="S64" s="91"/>
    </row>
    <row r="65" spans="8:19" x14ac:dyDescent="0.25">
      <c r="H65" s="83"/>
      <c r="I65" s="591"/>
      <c r="J65" s="106">
        <f>J9</f>
        <v>7.5693863136387147</v>
      </c>
      <c r="K65" s="109" t="s">
        <v>71</v>
      </c>
      <c r="L65" s="91"/>
      <c r="O65" s="83"/>
      <c r="P65" s="591" t="s">
        <v>109</v>
      </c>
      <c r="Q65" s="592" t="s">
        <v>349</v>
      </c>
      <c r="R65" s="592"/>
      <c r="S65" s="91"/>
    </row>
    <row r="66" spans="8:19" x14ac:dyDescent="0.25">
      <c r="H66" s="83"/>
      <c r="I66" s="591" t="s">
        <v>75</v>
      </c>
      <c r="J66" s="592" t="s">
        <v>311</v>
      </c>
      <c r="K66" s="592"/>
      <c r="L66" s="91"/>
      <c r="O66" s="83"/>
      <c r="P66" s="591"/>
      <c r="Q66" s="106">
        <v>1.4999999999999999E-2</v>
      </c>
      <c r="R66" s="109" t="s">
        <v>71</v>
      </c>
      <c r="S66" s="91"/>
    </row>
    <row r="67" spans="8:19" x14ac:dyDescent="0.25">
      <c r="H67" s="83"/>
      <c r="I67" s="591"/>
      <c r="J67" s="106">
        <f>J13</f>
        <v>2.6874201803001525</v>
      </c>
      <c r="K67" s="109" t="s">
        <v>71</v>
      </c>
      <c r="L67" s="91"/>
      <c r="O67" s="83"/>
      <c r="P67" s="591" t="s">
        <v>75</v>
      </c>
      <c r="Q67" s="592" t="s">
        <v>311</v>
      </c>
      <c r="R67" s="592"/>
      <c r="S67" s="91"/>
    </row>
    <row r="68" spans="8:19" x14ac:dyDescent="0.25">
      <c r="H68" s="83"/>
      <c r="I68" s="218" t="s">
        <v>330</v>
      </c>
      <c r="J68" s="109">
        <f>J33</f>
        <v>4.4999999999999998E-2</v>
      </c>
      <c r="K68" s="109"/>
      <c r="L68" s="91"/>
      <c r="O68" s="83"/>
      <c r="P68" s="591"/>
      <c r="Q68" s="106">
        <v>0.2</v>
      </c>
      <c r="R68" s="109" t="s">
        <v>71</v>
      </c>
      <c r="S68" s="91"/>
    </row>
    <row r="69" spans="8:19" ht="15.75" thickBot="1" x14ac:dyDescent="0.3">
      <c r="H69" s="83"/>
      <c r="L69" s="91"/>
      <c r="O69" s="83"/>
      <c r="P69" s="591" t="s">
        <v>312</v>
      </c>
      <c r="Q69" s="592" t="s">
        <v>313</v>
      </c>
      <c r="R69" s="592"/>
      <c r="S69" s="91"/>
    </row>
    <row r="70" spans="8:19" ht="15.75" thickBot="1" x14ac:dyDescent="0.3">
      <c r="H70" s="83"/>
      <c r="I70" s="208" t="s">
        <v>331</v>
      </c>
      <c r="J70" s="206">
        <f>J68*(J63^1.3)*(J65^0.8)*(J67^0.3)</f>
        <v>21.82865904359404</v>
      </c>
      <c r="K70" s="207" t="s">
        <v>92</v>
      </c>
      <c r="L70" s="91" t="s">
        <v>324</v>
      </c>
      <c r="O70" s="83"/>
      <c r="P70" s="591"/>
      <c r="Q70" s="106">
        <f>80%*Q62</f>
        <v>18.693757442807833</v>
      </c>
      <c r="R70" s="109" t="s">
        <v>71</v>
      </c>
      <c r="S70" s="91"/>
    </row>
    <row r="71" spans="8:19" ht="15.75" thickBot="1" x14ac:dyDescent="0.3">
      <c r="H71" s="166"/>
      <c r="I71" s="92"/>
      <c r="J71" s="92"/>
      <c r="K71" s="92"/>
      <c r="L71" s="93"/>
      <c r="O71" s="83"/>
      <c r="P71" s="591" t="s">
        <v>314</v>
      </c>
      <c r="Q71" s="592" t="s">
        <v>315</v>
      </c>
      <c r="R71" s="592"/>
      <c r="S71" s="91"/>
    </row>
    <row r="72" spans="8:19" x14ac:dyDescent="0.25">
      <c r="H72" s="82" t="s">
        <v>332</v>
      </c>
      <c r="I72" s="164"/>
      <c r="J72" s="164"/>
      <c r="K72" s="164"/>
      <c r="L72" s="165"/>
      <c r="O72" s="83"/>
      <c r="P72" s="591"/>
      <c r="Q72" s="106">
        <f>Q64</f>
        <v>8.2674000000000003</v>
      </c>
      <c r="R72" s="109" t="s">
        <v>71</v>
      </c>
      <c r="S72" s="91"/>
    </row>
    <row r="73" spans="8:19" ht="15.75" thickBot="1" x14ac:dyDescent="0.3">
      <c r="H73" s="83"/>
      <c r="I73" s="211" t="s">
        <v>325</v>
      </c>
      <c r="J73" s="109">
        <v>7.85</v>
      </c>
      <c r="K73" s="109" t="s">
        <v>274</v>
      </c>
      <c r="L73" s="91"/>
      <c r="O73" s="83"/>
      <c r="S73" s="91"/>
    </row>
    <row r="74" spans="8:19" ht="15.75" thickBot="1" x14ac:dyDescent="0.3">
      <c r="H74" s="83"/>
      <c r="I74" s="212" t="s">
        <v>326</v>
      </c>
      <c r="J74" s="106">
        <v>2.7</v>
      </c>
      <c r="K74" s="109" t="s">
        <v>274</v>
      </c>
      <c r="L74" s="91"/>
      <c r="O74" s="83"/>
      <c r="P74" s="208" t="s">
        <v>316</v>
      </c>
      <c r="Q74" s="206">
        <f>(Q62*(Q64+Q66))+(0.85*Q62*(Q68-Q66))+(0.85*(Q70*Q72))+0</f>
        <v>328.57741724301047</v>
      </c>
      <c r="R74" s="207"/>
      <c r="S74" s="91"/>
    </row>
    <row r="75" spans="8:19" ht="15.75" thickBot="1" x14ac:dyDescent="0.3">
      <c r="H75" s="83"/>
      <c r="L75" s="91"/>
      <c r="O75" s="166"/>
      <c r="P75" s="92"/>
      <c r="Q75" s="92"/>
      <c r="R75" s="92"/>
      <c r="S75" s="93"/>
    </row>
    <row r="76" spans="8:19" ht="15.75" thickBot="1" x14ac:dyDescent="0.3">
      <c r="H76" s="83"/>
      <c r="I76" s="205" t="s">
        <v>331</v>
      </c>
      <c r="J76" s="214">
        <f>103%*(J70/J73*J74)</f>
        <v>7.7331848153165641</v>
      </c>
      <c r="K76" s="215" t="s">
        <v>92</v>
      </c>
      <c r="L76" s="216" t="s">
        <v>327</v>
      </c>
      <c r="O76" s="82" t="s">
        <v>317</v>
      </c>
      <c r="P76" s="164"/>
      <c r="Q76" s="164"/>
      <c r="R76" s="164"/>
      <c r="S76" s="165"/>
    </row>
    <row r="77" spans="8:19" ht="15.75" thickBot="1" x14ac:dyDescent="0.3">
      <c r="H77" s="166"/>
      <c r="I77" s="92"/>
      <c r="J77" s="92"/>
      <c r="K77" s="92"/>
      <c r="L77" s="93" t="s">
        <v>351</v>
      </c>
      <c r="O77" s="83"/>
      <c r="S77" s="91"/>
    </row>
    <row r="78" spans="8:19" ht="15.75" thickBot="1" x14ac:dyDescent="0.3">
      <c r="O78" s="83"/>
      <c r="S78" s="91"/>
    </row>
    <row r="79" spans="8:19" ht="15.75" thickBot="1" x14ac:dyDescent="0.3">
      <c r="H79" s="625" t="s">
        <v>304</v>
      </c>
      <c r="I79" s="626"/>
      <c r="J79" s="626"/>
      <c r="K79" s="626"/>
      <c r="L79" s="627"/>
      <c r="O79" s="83"/>
      <c r="S79" s="91"/>
    </row>
    <row r="80" spans="8:19" x14ac:dyDescent="0.25">
      <c r="H80" s="83"/>
      <c r="I80" s="202" t="s">
        <v>333</v>
      </c>
      <c r="J80" s="203" t="s">
        <v>334</v>
      </c>
      <c r="K80" s="203"/>
      <c r="L80" s="91"/>
      <c r="O80" s="83"/>
      <c r="S80" s="91"/>
    </row>
    <row r="81" spans="8:19" x14ac:dyDescent="0.25">
      <c r="H81" s="83"/>
      <c r="I81" s="202"/>
      <c r="J81" s="106">
        <f>2*'Resistance (maxsurf)'!H159/1000</f>
        <v>2.2999999999999998</v>
      </c>
      <c r="K81" s="109" t="s">
        <v>92</v>
      </c>
      <c r="L81" s="91"/>
      <c r="O81" s="83"/>
      <c r="S81" s="91"/>
    </row>
    <row r="82" spans="8:19" x14ac:dyDescent="0.25">
      <c r="H82" s="83"/>
      <c r="I82" s="202" t="s">
        <v>335</v>
      </c>
      <c r="J82" s="203" t="s">
        <v>369</v>
      </c>
      <c r="K82" s="203"/>
      <c r="L82" s="91"/>
      <c r="O82" s="83"/>
      <c r="S82" s="91"/>
    </row>
    <row r="83" spans="8:19" x14ac:dyDescent="0.25">
      <c r="H83" s="83"/>
      <c r="I83" s="202"/>
      <c r="J83" s="106">
        <f>0.16*'Resistance (maxsurf)'!D142^0.7</f>
        <v>10.649017468418631</v>
      </c>
      <c r="K83" s="109" t="s">
        <v>92</v>
      </c>
      <c r="L83" s="91"/>
      <c r="O83" s="83"/>
      <c r="S83" s="91"/>
    </row>
    <row r="84" spans="8:19" ht="15.75" thickBot="1" x14ac:dyDescent="0.3">
      <c r="H84" s="83"/>
      <c r="L84" s="91"/>
      <c r="O84" s="83"/>
      <c r="S84" s="91"/>
    </row>
    <row r="85" spans="8:19" ht="15.75" thickBot="1" x14ac:dyDescent="0.3">
      <c r="H85" s="83"/>
      <c r="I85" s="205"/>
      <c r="J85" s="214"/>
      <c r="K85" s="215"/>
      <c r="L85" s="216"/>
      <c r="O85" s="83"/>
      <c r="S85" s="91"/>
    </row>
    <row r="86" spans="8:19" ht="15.75" thickBot="1" x14ac:dyDescent="0.3">
      <c r="H86" s="166"/>
      <c r="I86" s="92"/>
      <c r="J86" s="92"/>
      <c r="K86" s="92"/>
      <c r="L86" s="93"/>
      <c r="O86" s="83"/>
      <c r="S86" s="91"/>
    </row>
    <row r="87" spans="8:19" x14ac:dyDescent="0.25">
      <c r="O87" s="83"/>
      <c r="S87" s="91"/>
    </row>
    <row r="88" spans="8:19" x14ac:dyDescent="0.25">
      <c r="O88" s="83"/>
      <c r="P88" s="209" t="s">
        <v>318</v>
      </c>
      <c r="Q88" s="210">
        <v>0.02</v>
      </c>
      <c r="R88" s="160"/>
      <c r="S88" s="91"/>
    </row>
    <row r="89" spans="8:19" x14ac:dyDescent="0.25">
      <c r="O89" s="83"/>
      <c r="P89" s="209" t="s">
        <v>316</v>
      </c>
      <c r="Q89" s="210">
        <f>Q74</f>
        <v>328.57741724301047</v>
      </c>
      <c r="R89" s="160"/>
      <c r="S89" s="91"/>
    </row>
    <row r="90" spans="8:19" ht="15.75" thickBot="1" x14ac:dyDescent="0.3">
      <c r="O90" s="83"/>
      <c r="S90" s="91"/>
    </row>
    <row r="91" spans="8:19" ht="15.75" thickBot="1" x14ac:dyDescent="0.3">
      <c r="O91" s="83"/>
      <c r="P91" s="208" t="s">
        <v>319</v>
      </c>
      <c r="Q91" s="206">
        <f>Q88*Q89^1.36</f>
        <v>52.924563323451466</v>
      </c>
      <c r="R91" s="207" t="s">
        <v>92</v>
      </c>
      <c r="S91" s="91"/>
    </row>
    <row r="92" spans="8:19" ht="15.75" thickBot="1" x14ac:dyDescent="0.3">
      <c r="O92" s="166"/>
      <c r="P92" s="92"/>
      <c r="Q92" s="92"/>
      <c r="R92" s="92"/>
      <c r="S92" s="93"/>
    </row>
    <row r="93" spans="8:19" x14ac:dyDescent="0.25">
      <c r="O93" s="82" t="s">
        <v>321</v>
      </c>
      <c r="P93" s="164"/>
      <c r="Q93" s="164"/>
      <c r="R93" s="164"/>
      <c r="S93" s="165"/>
    </row>
    <row r="94" spans="8:19" x14ac:dyDescent="0.25">
      <c r="O94" s="83"/>
      <c r="S94" s="91"/>
    </row>
    <row r="95" spans="8:19" x14ac:dyDescent="0.25">
      <c r="O95" s="83"/>
      <c r="S95" s="91"/>
    </row>
    <row r="96" spans="8:19" x14ac:dyDescent="0.25">
      <c r="O96" s="83"/>
      <c r="P96" s="591" t="s">
        <v>88</v>
      </c>
      <c r="Q96" s="592" t="s">
        <v>322</v>
      </c>
      <c r="R96" s="592"/>
      <c r="S96" s="91"/>
    </row>
    <row r="97" spans="15:19" x14ac:dyDescent="0.25">
      <c r="O97" s="83"/>
      <c r="P97" s="591"/>
      <c r="Q97" s="106">
        <v>0.9</v>
      </c>
      <c r="R97" s="109"/>
      <c r="S97" s="91"/>
    </row>
    <row r="98" spans="15:19" x14ac:dyDescent="0.25">
      <c r="O98" s="83"/>
      <c r="P98" s="591" t="s">
        <v>76</v>
      </c>
      <c r="Q98" s="592" t="s">
        <v>310</v>
      </c>
      <c r="R98" s="592"/>
      <c r="S98" s="91"/>
    </row>
    <row r="99" spans="15:19" x14ac:dyDescent="0.25">
      <c r="O99" s="83"/>
      <c r="P99" s="591"/>
      <c r="Q99" s="106">
        <f>Q66</f>
        <v>1.4999999999999999E-2</v>
      </c>
      <c r="R99" s="109" t="s">
        <v>71</v>
      </c>
      <c r="S99" s="91"/>
    </row>
    <row r="100" spans="15:19" x14ac:dyDescent="0.25">
      <c r="O100" s="83"/>
      <c r="P100" s="591" t="s">
        <v>75</v>
      </c>
      <c r="Q100" s="592" t="s">
        <v>311</v>
      </c>
      <c r="R100" s="592"/>
      <c r="S100" s="91"/>
    </row>
    <row r="101" spans="15:19" x14ac:dyDescent="0.25">
      <c r="O101" s="83"/>
      <c r="P101" s="591"/>
      <c r="Q101" s="106">
        <f>Q68</f>
        <v>0.2</v>
      </c>
      <c r="R101" s="109" t="s">
        <v>71</v>
      </c>
      <c r="S101" s="91"/>
    </row>
    <row r="102" spans="15:19" ht="15.75" thickBot="1" x14ac:dyDescent="0.3">
      <c r="O102" s="83"/>
      <c r="S102" s="91"/>
    </row>
    <row r="103" spans="15:19" ht="15.75" thickBot="1" x14ac:dyDescent="0.3">
      <c r="O103" s="83"/>
      <c r="P103" s="208" t="s">
        <v>320</v>
      </c>
      <c r="Q103" s="206">
        <f>(Q91*(1+(0.5*(((Q97+(1-Q97)*(((0.8*Q101)-Q99)/(3*Q99)))))-0.7)))</f>
        <v>48.220157694700227</v>
      </c>
      <c r="R103" s="207" t="s">
        <v>92</v>
      </c>
      <c r="S103" s="91" t="s">
        <v>324</v>
      </c>
    </row>
    <row r="104" spans="15:19" ht="15.75" thickBot="1" x14ac:dyDescent="0.3">
      <c r="O104" s="166"/>
      <c r="P104" s="92"/>
      <c r="Q104" s="92"/>
      <c r="R104" s="92"/>
      <c r="S104" s="93"/>
    </row>
    <row r="105" spans="15:19" x14ac:dyDescent="0.25">
      <c r="O105" s="82" t="s">
        <v>344</v>
      </c>
      <c r="P105" s="164"/>
      <c r="Q105" s="164"/>
      <c r="R105" s="164"/>
      <c r="S105" s="165"/>
    </row>
    <row r="106" spans="15:19" x14ac:dyDescent="0.25">
      <c r="O106" s="83"/>
      <c r="P106" s="211" t="s">
        <v>325</v>
      </c>
      <c r="Q106" s="109">
        <v>7.85</v>
      </c>
      <c r="R106" s="109" t="s">
        <v>274</v>
      </c>
      <c r="S106" s="91"/>
    </row>
    <row r="107" spans="15:19" x14ac:dyDescent="0.25">
      <c r="O107" s="83"/>
      <c r="P107" s="212" t="s">
        <v>326</v>
      </c>
      <c r="Q107" s="106">
        <v>2.7</v>
      </c>
      <c r="R107" s="109" t="s">
        <v>274</v>
      </c>
      <c r="S107" s="91"/>
    </row>
    <row r="108" spans="15:19" ht="15.75" thickBot="1" x14ac:dyDescent="0.3">
      <c r="O108" s="83"/>
      <c r="S108" s="91"/>
    </row>
    <row r="109" spans="15:19" ht="15.75" thickBot="1" x14ac:dyDescent="0.3">
      <c r="O109" s="83"/>
      <c r="P109" s="205" t="s">
        <v>320</v>
      </c>
      <c r="Q109" s="214">
        <f>(Q103/Q106*Q107)</f>
        <v>16.585277168877788</v>
      </c>
      <c r="R109" s="215" t="s">
        <v>92</v>
      </c>
      <c r="S109" s="216" t="s">
        <v>327</v>
      </c>
    </row>
    <row r="110" spans="15:19" ht="15.75" thickBot="1" x14ac:dyDescent="0.3">
      <c r="O110" s="166"/>
      <c r="P110" s="92"/>
      <c r="Q110" s="92"/>
      <c r="R110" s="92"/>
      <c r="S110" s="93"/>
    </row>
    <row r="111" spans="15:19" ht="15.75" thickBot="1" x14ac:dyDescent="0.3"/>
    <row r="112" spans="15:19" ht="15.75" thickBot="1" x14ac:dyDescent="0.3">
      <c r="O112" s="230" t="s">
        <v>350</v>
      </c>
      <c r="P112" s="229"/>
      <c r="Q112" s="229"/>
      <c r="R112" s="214">
        <f>Q109+Q55</f>
        <v>47.70139696660096</v>
      </c>
      <c r="S112" s="215" t="s">
        <v>92</v>
      </c>
    </row>
    <row r="113" spans="15:19" ht="15.75" thickBot="1" x14ac:dyDescent="0.3"/>
    <row r="114" spans="15:19" ht="15.75" thickBot="1" x14ac:dyDescent="0.3">
      <c r="O114" s="622" t="s">
        <v>303</v>
      </c>
      <c r="P114" s="623"/>
      <c r="Q114" s="623"/>
      <c r="R114" s="623"/>
      <c r="S114" s="624"/>
    </row>
    <row r="115" spans="15:19" x14ac:dyDescent="0.25">
      <c r="O115" s="82" t="s">
        <v>329</v>
      </c>
      <c r="P115" s="164"/>
      <c r="Q115" s="164"/>
      <c r="R115" s="164"/>
      <c r="S115" s="165"/>
    </row>
    <row r="116" spans="15:19" x14ac:dyDescent="0.25">
      <c r="O116" s="83"/>
      <c r="S116" s="91"/>
    </row>
    <row r="117" spans="15:19" x14ac:dyDescent="0.25">
      <c r="O117" s="83"/>
      <c r="S117" s="91"/>
    </row>
    <row r="118" spans="15:19" x14ac:dyDescent="0.25">
      <c r="O118" s="83"/>
      <c r="P118" s="591" t="s">
        <v>307</v>
      </c>
      <c r="Q118" s="592" t="s">
        <v>308</v>
      </c>
      <c r="R118" s="592"/>
      <c r="S118" s="91"/>
    </row>
    <row r="119" spans="15:19" x14ac:dyDescent="0.25">
      <c r="O119" s="83"/>
      <c r="P119" s="591"/>
      <c r="Q119" s="106">
        <f>Q62</f>
        <v>23.367196803509792</v>
      </c>
      <c r="R119" s="109" t="s">
        <v>71</v>
      </c>
      <c r="S119" s="91"/>
    </row>
    <row r="120" spans="15:19" x14ac:dyDescent="0.25">
      <c r="O120" s="83"/>
      <c r="P120" s="591" t="s">
        <v>72</v>
      </c>
      <c r="Q120" s="592" t="s">
        <v>309</v>
      </c>
      <c r="R120" s="592"/>
      <c r="S120" s="91"/>
    </row>
    <row r="121" spans="15:19" x14ac:dyDescent="0.25">
      <c r="O121" s="83"/>
      <c r="P121" s="591"/>
      <c r="Q121" s="106">
        <f>'Ukuran Utama Kapal'!T141</f>
        <v>12.247566593544356</v>
      </c>
      <c r="R121" s="109" t="s">
        <v>71</v>
      </c>
      <c r="S121" s="91"/>
    </row>
    <row r="122" spans="15:19" x14ac:dyDescent="0.25">
      <c r="O122" s="83"/>
      <c r="P122" s="591" t="s">
        <v>75</v>
      </c>
      <c r="Q122" s="592" t="s">
        <v>311</v>
      </c>
      <c r="R122" s="592"/>
      <c r="S122" s="91"/>
    </row>
    <row r="123" spans="15:19" x14ac:dyDescent="0.25">
      <c r="O123" s="83"/>
      <c r="P123" s="591"/>
      <c r="Q123" s="106">
        <f>'Ukuran Utama Kapal'!T142</f>
        <v>6.0842400501410392</v>
      </c>
      <c r="R123" s="109" t="s">
        <v>71</v>
      </c>
      <c r="S123" s="91"/>
    </row>
    <row r="124" spans="15:19" x14ac:dyDescent="0.25">
      <c r="O124" s="83"/>
      <c r="P124" s="218" t="s">
        <v>330</v>
      </c>
      <c r="Q124" s="109">
        <f>J68</f>
        <v>4.4999999999999998E-2</v>
      </c>
      <c r="R124" s="109"/>
      <c r="S124" s="91"/>
    </row>
    <row r="125" spans="15:19" ht="15.75" thickBot="1" x14ac:dyDescent="0.3">
      <c r="O125" s="83"/>
      <c r="S125" s="91"/>
    </row>
    <row r="126" spans="15:19" ht="15.75" thickBot="1" x14ac:dyDescent="0.3">
      <c r="O126" s="83"/>
      <c r="P126" s="208" t="s">
        <v>331</v>
      </c>
      <c r="Q126" s="206">
        <f>Q124*(Q119^1.3)*((Q121/2)^0.8)*(Q123^0.3)</f>
        <v>19.827998081378752</v>
      </c>
      <c r="R126" s="207" t="s">
        <v>92</v>
      </c>
      <c r="S126" s="91" t="s">
        <v>324</v>
      </c>
    </row>
    <row r="127" spans="15:19" ht="15.75" thickBot="1" x14ac:dyDescent="0.3">
      <c r="O127" s="166"/>
      <c r="P127" s="92"/>
      <c r="Q127" s="92"/>
      <c r="R127" s="92"/>
      <c r="S127" s="93"/>
    </row>
    <row r="128" spans="15:19" x14ac:dyDescent="0.25">
      <c r="O128" s="82" t="s">
        <v>332</v>
      </c>
      <c r="P128" s="164"/>
      <c r="Q128" s="164"/>
      <c r="R128" s="164"/>
      <c r="S128" s="165"/>
    </row>
    <row r="129" spans="15:19" x14ac:dyDescent="0.25">
      <c r="O129" s="83"/>
      <c r="P129" s="211" t="s">
        <v>325</v>
      </c>
      <c r="Q129" s="109">
        <v>7.85</v>
      </c>
      <c r="R129" s="109" t="s">
        <v>274</v>
      </c>
      <c r="S129" s="91"/>
    </row>
    <row r="130" spans="15:19" x14ac:dyDescent="0.25">
      <c r="O130" s="83"/>
      <c r="P130" s="212" t="s">
        <v>326</v>
      </c>
      <c r="Q130" s="106">
        <v>2.7</v>
      </c>
      <c r="R130" s="109" t="s">
        <v>274</v>
      </c>
      <c r="S130" s="91"/>
    </row>
    <row r="131" spans="15:19" ht="15.75" thickBot="1" x14ac:dyDescent="0.3">
      <c r="O131" s="83"/>
      <c r="S131" s="91"/>
    </row>
    <row r="132" spans="15:19" ht="15.75" thickBot="1" x14ac:dyDescent="0.3">
      <c r="O132" s="83"/>
      <c r="P132" s="205" t="s">
        <v>331</v>
      </c>
      <c r="Q132" s="214">
        <f>Q126/Q129*Q130</f>
        <v>6.8198209961430116</v>
      </c>
      <c r="R132" s="215" t="s">
        <v>92</v>
      </c>
      <c r="S132" s="216" t="s">
        <v>327</v>
      </c>
    </row>
    <row r="133" spans="15:19" ht="15.75" thickBot="1" x14ac:dyDescent="0.3">
      <c r="O133" s="166"/>
      <c r="P133" s="92"/>
      <c r="Q133" s="92"/>
      <c r="R133" s="92"/>
      <c r="S133" s="93"/>
    </row>
    <row r="134" spans="15:19" ht="15.75" thickBot="1" x14ac:dyDescent="0.3"/>
    <row r="135" spans="15:19" ht="15.75" thickBot="1" x14ac:dyDescent="0.3">
      <c r="O135" s="619" t="s">
        <v>304</v>
      </c>
      <c r="P135" s="620"/>
      <c r="Q135" s="620"/>
      <c r="R135" s="620"/>
      <c r="S135" s="621"/>
    </row>
    <row r="136" spans="15:19" x14ac:dyDescent="0.25">
      <c r="O136" s="83"/>
      <c r="P136" s="202" t="s">
        <v>333</v>
      </c>
      <c r="Q136" s="203" t="s">
        <v>334</v>
      </c>
      <c r="R136" s="203"/>
      <c r="S136" s="91"/>
    </row>
    <row r="137" spans="15:19" x14ac:dyDescent="0.25">
      <c r="O137" s="83"/>
      <c r="P137" s="202"/>
      <c r="Q137" s="106">
        <f>'Resistance (maxsurf)'!J159/1000</f>
        <v>2.2999999999999998</v>
      </c>
      <c r="R137" s="109" t="s">
        <v>92</v>
      </c>
      <c r="S137" s="91" t="s">
        <v>271</v>
      </c>
    </row>
    <row r="138" spans="15:19" x14ac:dyDescent="0.25">
      <c r="O138" s="83"/>
      <c r="P138" s="202" t="s">
        <v>335</v>
      </c>
      <c r="Q138" s="203" t="s">
        <v>369</v>
      </c>
      <c r="R138" s="203"/>
      <c r="S138" s="91"/>
    </row>
    <row r="139" spans="15:19" x14ac:dyDescent="0.25">
      <c r="O139" s="83"/>
      <c r="P139" s="202"/>
      <c r="Q139" s="106">
        <f>0.16*'Resistance (maxsurf)'!D142^0.7</f>
        <v>10.649017468418631</v>
      </c>
      <c r="R139" s="109" t="s">
        <v>92</v>
      </c>
      <c r="S139" s="91"/>
    </row>
    <row r="140" spans="15:19" ht="15.75" thickBot="1" x14ac:dyDescent="0.3">
      <c r="O140" s="83"/>
      <c r="S140" s="91"/>
    </row>
    <row r="141" spans="15:19" ht="15.75" thickBot="1" x14ac:dyDescent="0.3">
      <c r="O141" s="83"/>
      <c r="P141" s="205" t="s">
        <v>337</v>
      </c>
      <c r="Q141" s="214">
        <f>Q137+Q139</f>
        <v>12.949017468418631</v>
      </c>
      <c r="R141" s="215" t="s">
        <v>92</v>
      </c>
      <c r="S141" s="91"/>
    </row>
    <row r="142" spans="15:19" ht="15.75" thickBot="1" x14ac:dyDescent="0.3">
      <c r="O142" s="166"/>
      <c r="P142" s="92"/>
      <c r="Q142" s="92"/>
      <c r="R142" s="92"/>
      <c r="S142" s="93"/>
    </row>
  </sheetData>
  <mergeCells count="78">
    <mergeCell ref="O58:S58"/>
    <mergeCell ref="P65:P66"/>
    <mergeCell ref="Q65:R65"/>
    <mergeCell ref="P67:P68"/>
    <mergeCell ref="Q67:R67"/>
    <mergeCell ref="P61:P62"/>
    <mergeCell ref="Q61:R61"/>
    <mergeCell ref="P63:P64"/>
    <mergeCell ref="Q63:R63"/>
    <mergeCell ref="P41:P42"/>
    <mergeCell ref="Q41:R41"/>
    <mergeCell ref="P43:P44"/>
    <mergeCell ref="Q43:R43"/>
    <mergeCell ref="P45:P46"/>
    <mergeCell ref="Q45:R45"/>
    <mergeCell ref="P12:P13"/>
    <mergeCell ref="Q12:R12"/>
    <mergeCell ref="P14:P15"/>
    <mergeCell ref="Q14:R14"/>
    <mergeCell ref="P16:P17"/>
    <mergeCell ref="Q16:R16"/>
    <mergeCell ref="P6:P7"/>
    <mergeCell ref="Q6:R6"/>
    <mergeCell ref="P8:P9"/>
    <mergeCell ref="Q8:R8"/>
    <mergeCell ref="P10:P11"/>
    <mergeCell ref="Q10:R10"/>
    <mergeCell ref="B3:F3"/>
    <mergeCell ref="C4:D4"/>
    <mergeCell ref="E4:F4"/>
    <mergeCell ref="H2:L2"/>
    <mergeCell ref="O2:S2"/>
    <mergeCell ref="O3:S3"/>
    <mergeCell ref="H3:L3"/>
    <mergeCell ref="I16:I17"/>
    <mergeCell ref="J16:K16"/>
    <mergeCell ref="I6:I7"/>
    <mergeCell ref="J6:K6"/>
    <mergeCell ref="I8:I9"/>
    <mergeCell ref="J8:K8"/>
    <mergeCell ref="I10:I11"/>
    <mergeCell ref="J10:K10"/>
    <mergeCell ref="I12:I13"/>
    <mergeCell ref="J12:K12"/>
    <mergeCell ref="I14:I15"/>
    <mergeCell ref="J14:K14"/>
    <mergeCell ref="H58:L58"/>
    <mergeCell ref="I62:I63"/>
    <mergeCell ref="J62:K62"/>
    <mergeCell ref="I64:I65"/>
    <mergeCell ref="J64:K64"/>
    <mergeCell ref="I41:I42"/>
    <mergeCell ref="J41:K41"/>
    <mergeCell ref="I43:I44"/>
    <mergeCell ref="J43:K43"/>
    <mergeCell ref="I45:I46"/>
    <mergeCell ref="J45:K45"/>
    <mergeCell ref="I66:I67"/>
    <mergeCell ref="J66:K66"/>
    <mergeCell ref="O114:S114"/>
    <mergeCell ref="P118:P119"/>
    <mergeCell ref="Q118:R118"/>
    <mergeCell ref="P69:P70"/>
    <mergeCell ref="Q69:R69"/>
    <mergeCell ref="P71:P72"/>
    <mergeCell ref="Q71:R71"/>
    <mergeCell ref="P96:P97"/>
    <mergeCell ref="Q96:R96"/>
    <mergeCell ref="P98:P99"/>
    <mergeCell ref="Q98:R98"/>
    <mergeCell ref="P100:P101"/>
    <mergeCell ref="Q100:R100"/>
    <mergeCell ref="H79:L79"/>
    <mergeCell ref="P120:P121"/>
    <mergeCell ref="Q120:R120"/>
    <mergeCell ref="P122:P123"/>
    <mergeCell ref="Q122:R122"/>
    <mergeCell ref="O135:S135"/>
  </mergeCells>
  <phoneticPr fontId="30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19C32-9DD9-4483-84EA-42B574E3ED5B}">
  <sheetPr>
    <tabColor rgb="FF00B050"/>
  </sheetPr>
  <dimension ref="B1:Y63"/>
  <sheetViews>
    <sheetView topLeftCell="A25" zoomScale="85" zoomScaleNormal="85" workbookViewId="0">
      <selection activeCell="W41" sqref="W41"/>
    </sheetView>
  </sheetViews>
  <sheetFormatPr defaultRowHeight="15" x14ac:dyDescent="0.25"/>
  <cols>
    <col min="2" max="2" width="5.5703125" customWidth="1"/>
    <col min="3" max="3" width="33.140625" bestFit="1" customWidth="1"/>
    <col min="4" max="4" width="12.28515625" customWidth="1"/>
    <col min="5" max="5" width="15.5703125" style="243" customWidth="1"/>
    <col min="6" max="7" width="12.28515625" style="243" customWidth="1"/>
    <col min="8" max="9" width="13.28515625" style="243" customWidth="1"/>
    <col min="10" max="11" width="12.28515625" style="243" customWidth="1"/>
    <col min="12" max="12" width="5.5703125" customWidth="1"/>
    <col min="14" max="14" width="5.5703125" customWidth="1"/>
    <col min="15" max="15" width="33.140625" bestFit="1" customWidth="1"/>
    <col min="16" max="16" width="12.28515625" customWidth="1"/>
    <col min="17" max="17" width="15.5703125" customWidth="1"/>
    <col min="18" max="19" width="12.28515625" customWidth="1"/>
    <col min="20" max="21" width="13.28515625" customWidth="1"/>
    <col min="22" max="23" width="12.28515625" customWidth="1"/>
    <col min="24" max="24" width="5.5703125" customWidth="1"/>
  </cols>
  <sheetData>
    <row r="1" spans="2:24" ht="15.75" thickBot="1" x14ac:dyDescent="0.3"/>
    <row r="2" spans="2:24" ht="32.25" thickBot="1" x14ac:dyDescent="0.55000000000000004">
      <c r="B2" s="660" t="s">
        <v>15</v>
      </c>
      <c r="C2" s="661"/>
      <c r="D2" s="661"/>
      <c r="E2" s="661"/>
      <c r="F2" s="661"/>
      <c r="G2" s="661"/>
      <c r="H2" s="661"/>
      <c r="I2" s="661"/>
      <c r="J2" s="661"/>
      <c r="K2" s="661"/>
      <c r="L2" s="662"/>
      <c r="N2" s="642" t="s">
        <v>16</v>
      </c>
      <c r="O2" s="643"/>
      <c r="P2" s="643"/>
      <c r="Q2" s="643"/>
      <c r="R2" s="643"/>
      <c r="S2" s="643"/>
      <c r="T2" s="643"/>
      <c r="U2" s="643"/>
      <c r="V2" s="643"/>
      <c r="W2" s="643"/>
      <c r="X2" s="644"/>
    </row>
    <row r="3" spans="2:24" ht="15.75" thickBot="1" x14ac:dyDescent="0.3">
      <c r="B3" s="622" t="s">
        <v>372</v>
      </c>
      <c r="C3" s="623"/>
      <c r="D3" s="623"/>
      <c r="E3" s="623"/>
      <c r="F3" s="623"/>
      <c r="G3" s="623"/>
      <c r="H3" s="623"/>
      <c r="I3" s="623"/>
      <c r="J3" s="623"/>
      <c r="K3" s="623"/>
      <c r="L3" s="624"/>
      <c r="N3" s="622" t="s">
        <v>372</v>
      </c>
      <c r="O3" s="623"/>
      <c r="P3" s="623"/>
      <c r="Q3" s="623"/>
      <c r="R3" s="623"/>
      <c r="S3" s="623"/>
      <c r="T3" s="623"/>
      <c r="U3" s="623"/>
      <c r="V3" s="623"/>
      <c r="W3" s="623"/>
      <c r="X3" s="624"/>
    </row>
    <row r="4" spans="2:24" ht="15.75" thickBot="1" x14ac:dyDescent="0.3">
      <c r="B4" s="82"/>
      <c r="C4" s="164"/>
      <c r="D4" s="164"/>
      <c r="E4" s="256"/>
      <c r="F4" s="256"/>
      <c r="G4" s="256"/>
      <c r="H4" s="256"/>
      <c r="I4" s="256"/>
      <c r="J4" s="256"/>
      <c r="K4" s="256"/>
      <c r="L4" s="165"/>
      <c r="N4" s="82"/>
      <c r="O4" s="164"/>
      <c r="P4" s="164"/>
      <c r="Q4" s="256"/>
      <c r="R4" s="256"/>
      <c r="S4" s="256"/>
      <c r="T4" s="256"/>
      <c r="U4" s="256"/>
      <c r="V4" s="256"/>
      <c r="W4" s="256"/>
      <c r="X4" s="165"/>
    </row>
    <row r="5" spans="2:24" x14ac:dyDescent="0.25">
      <c r="B5" s="83"/>
      <c r="C5" s="645" t="s">
        <v>385</v>
      </c>
      <c r="D5" s="646"/>
      <c r="E5" s="646"/>
      <c r="F5" s="647"/>
      <c r="L5" s="91"/>
      <c r="N5" s="83"/>
      <c r="O5" s="645" t="s">
        <v>385</v>
      </c>
      <c r="P5" s="646"/>
      <c r="Q5" s="646"/>
      <c r="R5" s="647"/>
      <c r="S5" s="243"/>
      <c r="T5" s="243"/>
      <c r="U5" s="243"/>
      <c r="V5" s="243"/>
      <c r="W5" s="243"/>
      <c r="X5" s="91"/>
    </row>
    <row r="6" spans="2:24" ht="30.75" thickBot="1" x14ac:dyDescent="0.3">
      <c r="B6" s="83"/>
      <c r="C6" s="232" t="s">
        <v>245</v>
      </c>
      <c r="D6" s="85" t="s">
        <v>367</v>
      </c>
      <c r="E6" s="85" t="s">
        <v>368</v>
      </c>
      <c r="F6" s="86" t="s">
        <v>358</v>
      </c>
      <c r="L6" s="91"/>
      <c r="N6" s="83"/>
      <c r="O6" s="232" t="s">
        <v>245</v>
      </c>
      <c r="P6" s="85" t="s">
        <v>367</v>
      </c>
      <c r="Q6" s="85" t="s">
        <v>368</v>
      </c>
      <c r="R6" s="86" t="s">
        <v>358</v>
      </c>
      <c r="S6" s="243"/>
      <c r="T6" s="243"/>
      <c r="U6" s="243"/>
      <c r="V6" s="243"/>
      <c r="W6" s="243"/>
      <c r="X6" s="91"/>
    </row>
    <row r="7" spans="2:24" ht="15.75" thickBot="1" x14ac:dyDescent="0.3">
      <c r="B7" s="83"/>
      <c r="C7" s="252" t="s">
        <v>402</v>
      </c>
      <c r="D7" s="253">
        <f>'Resistance (maxsurf)'!H159</f>
        <v>1150</v>
      </c>
      <c r="E7" s="254">
        <v>2.484</v>
      </c>
      <c r="F7" s="255">
        <f>D7/1000/E7</f>
        <v>0.46296296296296291</v>
      </c>
      <c r="L7" s="91"/>
      <c r="N7" s="83"/>
      <c r="O7" s="252" t="s">
        <v>402</v>
      </c>
      <c r="P7" s="253">
        <f>D7</f>
        <v>1150</v>
      </c>
      <c r="Q7" s="254">
        <v>1.4450000000000001</v>
      </c>
      <c r="R7" s="255">
        <f>P7/1000/Q7</f>
        <v>0.79584775086505177</v>
      </c>
      <c r="S7" s="243">
        <v>0.79584775086505199</v>
      </c>
      <c r="T7" s="243"/>
      <c r="U7" s="243"/>
      <c r="V7" s="243"/>
      <c r="W7" s="243"/>
      <c r="X7" s="91"/>
    </row>
    <row r="8" spans="2:24" ht="15.75" thickBot="1" x14ac:dyDescent="0.3">
      <c r="B8" s="83"/>
      <c r="L8" s="91"/>
      <c r="N8" s="83"/>
      <c r="Q8" s="243"/>
      <c r="R8" s="243"/>
      <c r="S8" s="243"/>
      <c r="T8" s="243"/>
      <c r="U8" s="243"/>
      <c r="V8" s="243"/>
      <c r="W8" s="243"/>
      <c r="X8" s="91"/>
    </row>
    <row r="9" spans="2:24" x14ac:dyDescent="0.25">
      <c r="B9" s="83"/>
      <c r="C9" s="648" t="s">
        <v>384</v>
      </c>
      <c r="D9" s="649"/>
      <c r="L9" s="91"/>
      <c r="N9" s="83"/>
      <c r="O9" s="648" t="s">
        <v>384</v>
      </c>
      <c r="P9" s="649"/>
      <c r="Q9" s="243"/>
      <c r="R9" s="243"/>
      <c r="S9" s="243"/>
      <c r="T9" s="243"/>
      <c r="U9" s="243"/>
      <c r="V9" s="243"/>
      <c r="W9" s="243"/>
      <c r="X9" s="91"/>
    </row>
    <row r="10" spans="2:24" ht="15.75" thickBot="1" x14ac:dyDescent="0.3">
      <c r="B10" s="83"/>
      <c r="C10" s="232" t="s">
        <v>245</v>
      </c>
      <c r="D10" s="86" t="s">
        <v>367</v>
      </c>
      <c r="L10" s="91"/>
      <c r="N10" s="83"/>
      <c r="O10" s="232" t="s">
        <v>245</v>
      </c>
      <c r="P10" s="86" t="s">
        <v>367</v>
      </c>
      <c r="Q10" s="243"/>
      <c r="R10" s="243"/>
      <c r="S10" s="243"/>
      <c r="T10" s="243"/>
      <c r="U10" s="243"/>
      <c r="V10" s="243"/>
      <c r="W10" s="243"/>
      <c r="X10" s="91"/>
    </row>
    <row r="11" spans="2:24" x14ac:dyDescent="0.25">
      <c r="B11" s="83"/>
      <c r="C11" s="81" t="str">
        <f>'Estimasi LWT'!B5</f>
        <v>Berat Konstruksi Kapal (Aluminium)</v>
      </c>
      <c r="D11" s="430">
        <f>'Estimasi LWT'!C5*1000</f>
        <v>24602.181648663784</v>
      </c>
      <c r="L11" s="91"/>
      <c r="N11" s="83"/>
      <c r="O11" s="81" t="str">
        <f>C11</f>
        <v>Berat Konstruksi Kapal (Aluminium)</v>
      </c>
      <c r="P11" s="430">
        <f>'Estimasi LWT'!E5*1000</f>
        <v>47701.396966600958</v>
      </c>
      <c r="Q11" s="243"/>
      <c r="R11" s="243"/>
      <c r="S11" s="243"/>
      <c r="T11" s="243"/>
      <c r="U11" s="243"/>
      <c r="V11" s="243"/>
      <c r="W11" s="243"/>
      <c r="X11" s="91"/>
    </row>
    <row r="12" spans="2:24" x14ac:dyDescent="0.25">
      <c r="B12" s="83"/>
      <c r="C12" s="76" t="str">
        <f>'Estimasi LWT'!B6</f>
        <v>Berat Outfit dan Akomodasi</v>
      </c>
      <c r="D12" s="431">
        <f>'Estimasi LWT'!C6*1000</f>
        <v>7733.1848153165638</v>
      </c>
      <c r="L12" s="91"/>
      <c r="N12" s="83"/>
      <c r="O12" s="81" t="str">
        <f t="shared" ref="O12:O13" si="0">C12</f>
        <v>Berat Outfit dan Akomodasi</v>
      </c>
      <c r="P12" s="431">
        <f>'Estimasi LWT'!E6*1000</f>
        <v>6819.8209961430121</v>
      </c>
      <c r="Q12" s="243"/>
      <c r="R12" s="243"/>
      <c r="S12" s="243"/>
      <c r="T12" s="243"/>
      <c r="U12" s="243"/>
      <c r="V12" s="243"/>
      <c r="W12" s="243"/>
      <c r="X12" s="91"/>
    </row>
    <row r="13" spans="2:24" ht="15.75" thickBot="1" x14ac:dyDescent="0.3">
      <c r="B13" s="83"/>
      <c r="C13" s="78" t="str">
        <f>'Estimasi LWT'!B8</f>
        <v>Berat Permesinan Lain</v>
      </c>
      <c r="D13" s="432">
        <f>'Estimasi LWT'!C8*1000</f>
        <v>10649.017468418631</v>
      </c>
      <c r="E13" s="344">
        <f>SUM(D11:D13)</f>
        <v>42984.383932398981</v>
      </c>
      <c r="G13" s="344">
        <v>42984.383932399003</v>
      </c>
      <c r="L13" s="91"/>
      <c r="N13" s="83"/>
      <c r="O13" s="252" t="str">
        <f t="shared" si="0"/>
        <v>Berat Permesinan Lain</v>
      </c>
      <c r="P13" s="432">
        <f>'Estimasi LWT'!E8*1000</f>
        <v>10649.017468418631</v>
      </c>
      <c r="Q13" s="344">
        <f>SUM(P11:P13)</f>
        <v>65170.235431162597</v>
      </c>
      <c r="R13" s="243"/>
      <c r="S13" s="344">
        <v>65170.235431162597</v>
      </c>
      <c r="T13" s="243"/>
      <c r="U13" s="243"/>
      <c r="V13" s="243"/>
      <c r="W13" s="243"/>
      <c r="X13" s="91"/>
    </row>
    <row r="14" spans="2:24" ht="15.75" thickBot="1" x14ac:dyDescent="0.3">
      <c r="B14" s="83"/>
      <c r="L14" s="91"/>
      <c r="N14" s="83"/>
      <c r="Q14" s="243"/>
      <c r="R14" s="243"/>
      <c r="S14" s="243"/>
      <c r="T14" s="243"/>
      <c r="U14" s="243"/>
      <c r="V14" s="243"/>
      <c r="W14" s="243"/>
      <c r="X14" s="91"/>
    </row>
    <row r="15" spans="2:24" x14ac:dyDescent="0.25">
      <c r="B15" s="83"/>
      <c r="C15" s="263" t="s">
        <v>378</v>
      </c>
      <c r="D15" s="264">
        <f>(D7++D11+D12+D13)/1000</f>
        <v>44.134383932398983</v>
      </c>
      <c r="E15" s="233" t="s">
        <v>92</v>
      </c>
      <c r="F15" s="265"/>
      <c r="G15" s="243">
        <f>D15*1000</f>
        <v>44134.383932398981</v>
      </c>
      <c r="H15" s="243">
        <v>44134.383932398981</v>
      </c>
      <c r="L15" s="91"/>
      <c r="N15" s="83"/>
      <c r="O15" s="263" t="s">
        <v>378</v>
      </c>
      <c r="P15" s="264">
        <f>(P7++P11+P12+P13)/1000</f>
        <v>66.320235431162601</v>
      </c>
      <c r="Q15" s="233" t="s">
        <v>92</v>
      </c>
      <c r="R15" s="265"/>
      <c r="S15" s="243"/>
      <c r="T15" s="243"/>
      <c r="U15" s="243"/>
      <c r="V15" s="243"/>
      <c r="W15" s="243"/>
      <c r="X15" s="91"/>
    </row>
    <row r="16" spans="2:24" x14ac:dyDescent="0.25">
      <c r="B16" s="83"/>
      <c r="C16" s="267" t="s">
        <v>380</v>
      </c>
      <c r="D16" s="266">
        <f>1/3*'Hydrostatics (Maxsurf)'!C7</f>
        <v>56</v>
      </c>
      <c r="E16" s="333" t="s">
        <v>92</v>
      </c>
      <c r="F16" s="259" t="s">
        <v>379</v>
      </c>
      <c r="L16" s="91"/>
      <c r="N16" s="83"/>
      <c r="O16" s="267" t="s">
        <v>380</v>
      </c>
      <c r="P16" s="266">
        <f>1/3*'Ukuran Utama Kapal'!T151</f>
        <v>56</v>
      </c>
      <c r="Q16" s="333" t="s">
        <v>92</v>
      </c>
      <c r="R16" s="259" t="s">
        <v>379</v>
      </c>
      <c r="S16" s="243"/>
      <c r="T16" s="243"/>
      <c r="U16" s="243"/>
      <c r="V16" s="243"/>
      <c r="W16" s="243"/>
      <c r="X16" s="91"/>
    </row>
    <row r="17" spans="2:24" ht="15.75" thickBot="1" x14ac:dyDescent="0.3">
      <c r="B17" s="83"/>
      <c r="C17" s="78" t="s">
        <v>386</v>
      </c>
      <c r="D17" s="268">
        <f>(D16-D15)</f>
        <v>11.865616067601017</v>
      </c>
      <c r="E17" s="251" t="s">
        <v>92</v>
      </c>
      <c r="F17" s="259"/>
      <c r="L17" s="91"/>
      <c r="N17" s="83"/>
      <c r="O17" s="78" t="s">
        <v>386</v>
      </c>
      <c r="P17" s="268">
        <f>(P16-P15)</f>
        <v>-10.320235431162601</v>
      </c>
      <c r="Q17" s="251" t="s">
        <v>92</v>
      </c>
      <c r="R17" s="259"/>
      <c r="S17" s="243"/>
      <c r="T17" s="243"/>
      <c r="U17" s="243"/>
      <c r="V17" s="243"/>
      <c r="W17" s="243"/>
      <c r="X17" s="91"/>
    </row>
    <row r="18" spans="2:24" ht="15.75" thickBot="1" x14ac:dyDescent="0.3">
      <c r="B18" s="166"/>
      <c r="C18" s="92"/>
      <c r="D18" s="92"/>
      <c r="E18" s="257"/>
      <c r="F18" s="257"/>
      <c r="G18" s="257"/>
      <c r="H18" s="257"/>
      <c r="I18" s="257"/>
      <c r="J18" s="257"/>
      <c r="K18" s="257"/>
      <c r="L18" s="93"/>
      <c r="N18" s="166"/>
      <c r="O18" s="92"/>
      <c r="P18" s="92"/>
      <c r="Q18" s="257"/>
      <c r="R18" s="257"/>
      <c r="S18" s="257"/>
      <c r="T18" s="257"/>
      <c r="U18" s="257"/>
      <c r="V18" s="257"/>
      <c r="W18" s="257"/>
      <c r="X18" s="93"/>
    </row>
    <row r="19" spans="2:24" ht="15.75" thickBot="1" x14ac:dyDescent="0.3">
      <c r="C19" s="92"/>
      <c r="D19" s="92"/>
      <c r="E19" s="257"/>
      <c r="F19" s="257"/>
      <c r="G19" s="257"/>
      <c r="H19" s="257"/>
      <c r="I19" s="257"/>
      <c r="J19" s="257"/>
      <c r="O19" s="92"/>
      <c r="P19" s="92"/>
      <c r="Q19" s="257"/>
      <c r="R19" s="257"/>
      <c r="S19" s="257"/>
      <c r="T19" s="257"/>
      <c r="U19" s="257"/>
      <c r="V19" s="257"/>
      <c r="W19" s="243"/>
    </row>
    <row r="20" spans="2:24" ht="15.75" thickBot="1" x14ac:dyDescent="0.3">
      <c r="B20" s="619" t="s">
        <v>374</v>
      </c>
      <c r="C20" s="620"/>
      <c r="D20" s="620"/>
      <c r="E20" s="620"/>
      <c r="F20" s="620"/>
      <c r="G20" s="620"/>
      <c r="H20" s="620"/>
      <c r="I20" s="620"/>
      <c r="J20" s="620"/>
      <c r="K20" s="620"/>
      <c r="L20" s="621"/>
      <c r="N20" s="619" t="s">
        <v>374</v>
      </c>
      <c r="O20" s="620"/>
      <c r="P20" s="620"/>
      <c r="Q20" s="620"/>
      <c r="R20" s="620"/>
      <c r="S20" s="620"/>
      <c r="T20" s="620"/>
      <c r="U20" s="620"/>
      <c r="V20" s="620"/>
      <c r="W20" s="620"/>
      <c r="X20" s="621"/>
    </row>
    <row r="21" spans="2:24" ht="15.75" thickBot="1" x14ac:dyDescent="0.3">
      <c r="B21" s="271"/>
      <c r="C21" s="220"/>
      <c r="D21" s="220"/>
      <c r="E21" s="220"/>
      <c r="F21" s="220"/>
      <c r="G21" s="220"/>
      <c r="H21" s="220"/>
      <c r="I21" s="220"/>
      <c r="J21" s="220"/>
      <c r="K21" s="220"/>
      <c r="L21" s="272"/>
      <c r="N21" s="271"/>
      <c r="O21" s="220"/>
      <c r="P21" s="220"/>
      <c r="Q21" s="220"/>
      <c r="R21" s="220"/>
      <c r="S21" s="220"/>
      <c r="T21" s="220"/>
      <c r="U21" s="220"/>
      <c r="V21" s="220"/>
      <c r="W21" s="220"/>
      <c r="X21" s="272"/>
    </row>
    <row r="22" spans="2:24" s="245" customFormat="1" x14ac:dyDescent="0.25">
      <c r="B22" s="273"/>
      <c r="C22" s="650" t="s">
        <v>371</v>
      </c>
      <c r="D22" s="651"/>
      <c r="E22" s="651"/>
      <c r="F22" s="651"/>
      <c r="G22" s="651"/>
      <c r="H22" s="651"/>
      <c r="I22" s="652"/>
      <c r="J22" s="653"/>
      <c r="K22" s="426"/>
      <c r="L22" s="274"/>
      <c r="N22" s="273"/>
      <c r="O22" s="650" t="s">
        <v>371</v>
      </c>
      <c r="P22" s="651"/>
      <c r="Q22" s="651"/>
      <c r="R22" s="651"/>
      <c r="S22" s="651"/>
      <c r="T22" s="651"/>
      <c r="U22" s="652"/>
      <c r="V22" s="653"/>
      <c r="W22" s="426"/>
      <c r="X22" s="274"/>
    </row>
    <row r="23" spans="2:24" s="245" customFormat="1" ht="14.45" customHeight="1" x14ac:dyDescent="0.25">
      <c r="B23" s="273"/>
      <c r="C23" s="602" t="s">
        <v>355</v>
      </c>
      <c r="D23" s="603" t="s">
        <v>356</v>
      </c>
      <c r="E23" s="550" t="s">
        <v>364</v>
      </c>
      <c r="F23" s="603" t="s">
        <v>360</v>
      </c>
      <c r="G23" s="603"/>
      <c r="H23" s="654"/>
      <c r="I23" s="655"/>
      <c r="J23" s="551" t="s">
        <v>403</v>
      </c>
      <c r="K23" s="331"/>
      <c r="L23" s="274"/>
      <c r="N23" s="273"/>
      <c r="O23" s="602" t="s">
        <v>355</v>
      </c>
      <c r="P23" s="603" t="s">
        <v>356</v>
      </c>
      <c r="Q23" s="550" t="s">
        <v>364</v>
      </c>
      <c r="R23" s="603" t="s">
        <v>360</v>
      </c>
      <c r="S23" s="603"/>
      <c r="T23" s="654"/>
      <c r="U23" s="655"/>
      <c r="V23" s="551" t="s">
        <v>403</v>
      </c>
      <c r="W23" s="331"/>
      <c r="X23" s="274"/>
    </row>
    <row r="24" spans="2:24" s="244" customFormat="1" ht="45.75" thickBot="1" x14ac:dyDescent="0.3">
      <c r="B24" s="275"/>
      <c r="C24" s="639"/>
      <c r="D24" s="640"/>
      <c r="E24" s="552"/>
      <c r="F24" s="85" t="s">
        <v>359</v>
      </c>
      <c r="G24" s="85" t="s">
        <v>365</v>
      </c>
      <c r="H24" s="85" t="s">
        <v>545</v>
      </c>
      <c r="I24" s="85" t="s">
        <v>404</v>
      </c>
      <c r="J24" s="656"/>
      <c r="K24" s="331"/>
      <c r="L24" s="276"/>
      <c r="N24" s="275"/>
      <c r="O24" s="639"/>
      <c r="P24" s="640"/>
      <c r="Q24" s="552"/>
      <c r="R24" s="85" t="s">
        <v>359</v>
      </c>
      <c r="S24" s="85" t="s">
        <v>365</v>
      </c>
      <c r="T24" s="85" t="s">
        <v>545</v>
      </c>
      <c r="U24" s="85" t="s">
        <v>404</v>
      </c>
      <c r="V24" s="656"/>
      <c r="W24" s="331"/>
      <c r="X24" s="276"/>
    </row>
    <row r="25" spans="2:24" x14ac:dyDescent="0.25">
      <c r="B25" s="83"/>
      <c r="C25" s="81" t="s">
        <v>357</v>
      </c>
      <c r="D25" s="248" t="s">
        <v>247</v>
      </c>
      <c r="E25" s="249">
        <f>0.9443*1000</f>
        <v>944.30000000000007</v>
      </c>
      <c r="F25" s="249">
        <v>0.56000000000000005</v>
      </c>
      <c r="G25" s="249">
        <v>529.20000000000005</v>
      </c>
      <c r="H25" s="249">
        <f>'Estimasi DWT'!AF23/2</f>
        <v>57.275939442597497</v>
      </c>
      <c r="I25" s="324">
        <f>H25/G25*100%</f>
        <v>0.10823117808502927</v>
      </c>
      <c r="J25" s="320">
        <f>G25/H25</f>
        <v>9.2394817989911697</v>
      </c>
      <c r="K25" s="427"/>
      <c r="L25" s="91"/>
      <c r="N25" s="83"/>
      <c r="O25" s="81" t="s">
        <v>357</v>
      </c>
      <c r="P25" s="248" t="s">
        <v>247</v>
      </c>
      <c r="Q25" s="249">
        <f>0.9443*1000</f>
        <v>944.30000000000007</v>
      </c>
      <c r="R25" s="249">
        <v>0.56000000000000005</v>
      </c>
      <c r="S25" s="249">
        <v>528.5</v>
      </c>
      <c r="T25" s="249">
        <f>'Estimasi DWT'!AK23/2</f>
        <v>60.843675222387063</v>
      </c>
      <c r="U25" s="324">
        <f>T25/S25*100%</f>
        <v>0.11512521328739274</v>
      </c>
      <c r="V25" s="320">
        <f>ROUNDDOWN(S25/T25,0)</f>
        <v>8</v>
      </c>
      <c r="W25" s="427"/>
      <c r="X25" s="91"/>
    </row>
    <row r="26" spans="2:24" x14ac:dyDescent="0.25">
      <c r="B26" s="83"/>
      <c r="C26" s="76" t="s">
        <v>361</v>
      </c>
      <c r="D26" s="109" t="s">
        <v>247</v>
      </c>
      <c r="E26" s="246">
        <f>E25</f>
        <v>944.30000000000007</v>
      </c>
      <c r="F26" s="246">
        <v>0.56000000000000005</v>
      </c>
      <c r="G26" s="246">
        <v>529.20000000000005</v>
      </c>
      <c r="H26" s="246">
        <f>H25</f>
        <v>57.275939442597497</v>
      </c>
      <c r="I26" s="324">
        <f>H26/G26*100%</f>
        <v>0.10823117808502927</v>
      </c>
      <c r="J26" s="320">
        <f>G26/H26</f>
        <v>9.2394817989911697</v>
      </c>
      <c r="K26" s="427"/>
      <c r="L26" s="91"/>
      <c r="M26" s="226"/>
      <c r="N26" s="83"/>
      <c r="O26" s="76" t="s">
        <v>361</v>
      </c>
      <c r="P26" s="109" t="s">
        <v>247</v>
      </c>
      <c r="Q26" s="246">
        <f>Q25</f>
        <v>944.30000000000007</v>
      </c>
      <c r="R26" s="246">
        <f>R25</f>
        <v>0.56000000000000005</v>
      </c>
      <c r="S26" s="246">
        <f>S25</f>
        <v>528.5</v>
      </c>
      <c r="T26" s="246">
        <f>T25</f>
        <v>60.843675222387063</v>
      </c>
      <c r="U26" s="324">
        <f>T26/S26*100%</f>
        <v>0.11512521328739274</v>
      </c>
      <c r="V26" s="320">
        <f>ROUNDDOWN(S26/T26,0)</f>
        <v>8</v>
      </c>
      <c r="W26" s="427"/>
      <c r="X26" s="91"/>
    </row>
    <row r="27" spans="2:24" x14ac:dyDescent="0.25">
      <c r="B27" s="83"/>
      <c r="C27" s="76" t="s">
        <v>362</v>
      </c>
      <c r="D27" s="109" t="s">
        <v>247</v>
      </c>
      <c r="E27" s="246">
        <f>0.92*1000</f>
        <v>920</v>
      </c>
      <c r="F27" s="246">
        <v>0.30499999999999999</v>
      </c>
      <c r="G27" s="246">
        <v>280.60000000000002</v>
      </c>
      <c r="H27" s="246">
        <f>'Estimasi DWT'!C6/2</f>
        <v>0.42180396698113221</v>
      </c>
      <c r="I27" s="324">
        <f>H27/G27*100%</f>
        <v>1.5032215501822243E-3</v>
      </c>
      <c r="J27" s="320">
        <f t="shared" ref="J27:J28" si="1">G27/H27</f>
        <v>665.23793507269602</v>
      </c>
      <c r="K27" s="427"/>
      <c r="L27" s="91"/>
      <c r="N27" s="83"/>
      <c r="O27" s="76" t="s">
        <v>362</v>
      </c>
      <c r="P27" s="109" t="s">
        <v>247</v>
      </c>
      <c r="Q27" s="246">
        <f>0.92*1000</f>
        <v>920</v>
      </c>
      <c r="R27" s="246">
        <v>0.60199999999999998</v>
      </c>
      <c r="S27" s="246">
        <v>553.6</v>
      </c>
      <c r="T27" s="246">
        <f>'Estimasi DWT'!R35</f>
        <v>0.56360793396226438</v>
      </c>
      <c r="U27" s="324">
        <f>T27/S27*100%</f>
        <v>1.0180779153942637E-3</v>
      </c>
      <c r="V27" s="320">
        <f t="shared" ref="V27:V30" si="2">S27/T27</f>
        <v>982.24309247759027</v>
      </c>
      <c r="W27" s="427"/>
      <c r="X27" s="91"/>
    </row>
    <row r="28" spans="2:24" x14ac:dyDescent="0.25">
      <c r="B28" s="83"/>
      <c r="C28" s="76" t="s">
        <v>363</v>
      </c>
      <c r="D28" s="109" t="s">
        <v>247</v>
      </c>
      <c r="E28" s="246">
        <f>E27</f>
        <v>920</v>
      </c>
      <c r="F28" s="246">
        <v>0.30499999999999999</v>
      </c>
      <c r="G28" s="246">
        <v>280.60000000000002</v>
      </c>
      <c r="H28" s="246">
        <f>H27</f>
        <v>0.42180396698113221</v>
      </c>
      <c r="I28" s="324">
        <f t="shared" ref="I28" si="3">H28/G28*100%</f>
        <v>1.5032215501822243E-3</v>
      </c>
      <c r="J28" s="320">
        <f t="shared" si="1"/>
        <v>665.23793507269602</v>
      </c>
      <c r="K28" s="427"/>
      <c r="L28" s="91"/>
      <c r="N28" s="83"/>
      <c r="O28" s="76" t="s">
        <v>363</v>
      </c>
      <c r="P28" s="109" t="s">
        <v>247</v>
      </c>
      <c r="Q28" s="246">
        <f>Q27</f>
        <v>920</v>
      </c>
      <c r="R28" s="246">
        <v>0.60199999999999998</v>
      </c>
      <c r="S28" s="246">
        <v>553.6</v>
      </c>
      <c r="T28" s="246">
        <f>T27</f>
        <v>0.56360793396226438</v>
      </c>
      <c r="U28" s="324">
        <f t="shared" ref="U28:U30" si="4">T28/S28*100%</f>
        <v>1.0180779153942637E-3</v>
      </c>
      <c r="V28" s="320">
        <f t="shared" si="2"/>
        <v>982.24309247759027</v>
      </c>
      <c r="W28" s="427"/>
      <c r="X28" s="91"/>
    </row>
    <row r="29" spans="2:24" x14ac:dyDescent="0.25">
      <c r="B29" s="83"/>
      <c r="C29" s="76" t="s">
        <v>366</v>
      </c>
      <c r="D29" s="109" t="s">
        <v>249</v>
      </c>
      <c r="E29" s="246">
        <v>1000</v>
      </c>
      <c r="F29" s="246">
        <v>6.1660000000000004</v>
      </c>
      <c r="G29" s="246">
        <v>6165.5</v>
      </c>
      <c r="H29" s="246">
        <f>'Estimasi DWT'!C7/2</f>
        <v>268.25178132075479</v>
      </c>
      <c r="I29" s="324">
        <f t="shared" ref="I29:I30" si="5">H29/G29*100%</f>
        <v>4.350852020448541E-2</v>
      </c>
      <c r="J29" s="320">
        <f t="shared" ref="J29:J30" si="6">G29/H29</f>
        <v>22.984003944517223</v>
      </c>
      <c r="K29" s="427"/>
      <c r="L29" s="91"/>
      <c r="N29" s="83"/>
      <c r="O29" s="76" t="s">
        <v>366</v>
      </c>
      <c r="P29" s="109" t="s">
        <v>249</v>
      </c>
      <c r="Q29" s="246">
        <v>1000</v>
      </c>
      <c r="R29" s="246">
        <v>13.244</v>
      </c>
      <c r="S29" s="246">
        <v>13244.2</v>
      </c>
      <c r="T29" s="246">
        <f>'Estimasi DWT'!Y69</f>
        <v>513.67924528301899</v>
      </c>
      <c r="U29" s="324">
        <f t="shared" si="4"/>
        <v>3.8785222609370062E-2</v>
      </c>
      <c r="V29" s="320">
        <f t="shared" si="2"/>
        <v>25.783015610651969</v>
      </c>
      <c r="W29" s="427"/>
      <c r="X29" s="91"/>
    </row>
    <row r="30" spans="2:24" ht="15.75" thickBot="1" x14ac:dyDescent="0.3">
      <c r="B30" s="83"/>
      <c r="C30" s="78" t="s">
        <v>366</v>
      </c>
      <c r="D30" s="79" t="s">
        <v>249</v>
      </c>
      <c r="E30" s="247">
        <v>1000</v>
      </c>
      <c r="F30" s="247">
        <v>6.1660000000000004</v>
      </c>
      <c r="G30" s="247">
        <v>6165.5</v>
      </c>
      <c r="H30" s="247">
        <f>H29</f>
        <v>268.25178132075479</v>
      </c>
      <c r="I30" s="325">
        <f t="shared" si="5"/>
        <v>4.350852020448541E-2</v>
      </c>
      <c r="J30" s="326">
        <f t="shared" si="6"/>
        <v>22.984003944517223</v>
      </c>
      <c r="K30" s="427"/>
      <c r="L30" s="91"/>
      <c r="N30" s="83"/>
      <c r="O30" s="78" t="s">
        <v>366</v>
      </c>
      <c r="P30" s="79" t="s">
        <v>249</v>
      </c>
      <c r="Q30" s="247">
        <v>1000</v>
      </c>
      <c r="R30" s="247">
        <v>13.244</v>
      </c>
      <c r="S30" s="247">
        <v>13244.2</v>
      </c>
      <c r="T30" s="247">
        <f>T29</f>
        <v>513.67924528301899</v>
      </c>
      <c r="U30" s="325">
        <f t="shared" si="4"/>
        <v>3.8785222609370062E-2</v>
      </c>
      <c r="V30" s="326">
        <f t="shared" si="2"/>
        <v>25.783015610651969</v>
      </c>
      <c r="W30" s="427"/>
      <c r="X30" s="91"/>
    </row>
    <row r="31" spans="2:24" ht="16.5" thickBot="1" x14ac:dyDescent="0.3">
      <c r="B31" s="83"/>
      <c r="J31" s="327"/>
      <c r="K31" s="327"/>
      <c r="L31" s="91"/>
      <c r="N31" s="83"/>
      <c r="Q31" s="243"/>
      <c r="R31" s="243"/>
      <c r="S31" s="243"/>
      <c r="T31" s="243"/>
      <c r="U31" s="243"/>
      <c r="V31" s="327"/>
      <c r="W31" s="327"/>
      <c r="X31" s="91"/>
    </row>
    <row r="32" spans="2:24" s="245" customFormat="1" x14ac:dyDescent="0.25">
      <c r="B32" s="273"/>
      <c r="C32" s="636" t="s">
        <v>375</v>
      </c>
      <c r="D32" s="637"/>
      <c r="E32" s="637"/>
      <c r="F32" s="637"/>
      <c r="G32" s="638"/>
      <c r="H32" s="321"/>
      <c r="L32" s="274"/>
      <c r="N32" s="273"/>
      <c r="O32" s="636" t="s">
        <v>375</v>
      </c>
      <c r="P32" s="637"/>
      <c r="Q32" s="637"/>
      <c r="R32" s="637"/>
      <c r="S32" s="638"/>
      <c r="T32" s="321"/>
      <c r="X32" s="274"/>
    </row>
    <row r="33" spans="2:24" s="244" customFormat="1" x14ac:dyDescent="0.25">
      <c r="B33" s="275"/>
      <c r="C33" s="602" t="s">
        <v>355</v>
      </c>
      <c r="D33" s="603" t="s">
        <v>356</v>
      </c>
      <c r="E33" s="550" t="s">
        <v>364</v>
      </c>
      <c r="F33" s="601" t="s">
        <v>360</v>
      </c>
      <c r="G33" s="641"/>
      <c r="H33" s="321"/>
      <c r="L33" s="276"/>
      <c r="N33" s="275"/>
      <c r="O33" s="602" t="s">
        <v>355</v>
      </c>
      <c r="P33" s="603" t="s">
        <v>356</v>
      </c>
      <c r="Q33" s="550" t="s">
        <v>364</v>
      </c>
      <c r="R33" s="601" t="s">
        <v>360</v>
      </c>
      <c r="S33" s="641"/>
      <c r="T33" s="321"/>
      <c r="X33" s="276"/>
    </row>
    <row r="34" spans="2:24" ht="45.75" thickBot="1" x14ac:dyDescent="0.3">
      <c r="B34" s="83"/>
      <c r="C34" s="639"/>
      <c r="D34" s="640"/>
      <c r="E34" s="552"/>
      <c r="F34" s="85" t="s">
        <v>359</v>
      </c>
      <c r="G34" s="86" t="s">
        <v>387</v>
      </c>
      <c r="H34" s="322"/>
      <c r="J34"/>
      <c r="K34"/>
      <c r="L34" s="91"/>
      <c r="N34" s="83"/>
      <c r="O34" s="639"/>
      <c r="P34" s="640"/>
      <c r="Q34" s="552"/>
      <c r="R34" s="85" t="s">
        <v>359</v>
      </c>
      <c r="S34" s="86" t="s">
        <v>387</v>
      </c>
      <c r="T34" s="322"/>
      <c r="U34" s="243"/>
      <c r="X34" s="91"/>
    </row>
    <row r="35" spans="2:24" x14ac:dyDescent="0.25">
      <c r="B35" s="83"/>
      <c r="C35" s="81" t="s">
        <v>376</v>
      </c>
      <c r="D35" s="248" t="s">
        <v>377</v>
      </c>
      <c r="E35" s="270">
        <v>1000</v>
      </c>
      <c r="F35" s="270">
        <v>1.766</v>
      </c>
      <c r="G35" s="328">
        <v>1765.9</v>
      </c>
      <c r="H35" s="323"/>
      <c r="J35"/>
      <c r="K35"/>
      <c r="L35" s="91"/>
      <c r="N35" s="83"/>
      <c r="O35" s="76" t="s">
        <v>405</v>
      </c>
      <c r="P35" s="109" t="s">
        <v>377</v>
      </c>
      <c r="Q35" s="218">
        <v>1000</v>
      </c>
      <c r="R35" s="218">
        <v>2.8439999999999999</v>
      </c>
      <c r="S35" s="329">
        <v>2843.8</v>
      </c>
      <c r="T35" s="323"/>
      <c r="U35" s="243"/>
      <c r="X35" s="91"/>
    </row>
    <row r="36" spans="2:24" x14ac:dyDescent="0.25">
      <c r="B36" s="83"/>
      <c r="C36" s="76" t="s">
        <v>405</v>
      </c>
      <c r="D36" s="109" t="s">
        <v>377</v>
      </c>
      <c r="E36" s="218">
        <f t="shared" ref="E36:E43" si="7">E35</f>
        <v>1000</v>
      </c>
      <c r="F36" s="218">
        <v>3.5859999999999999</v>
      </c>
      <c r="G36" s="329">
        <v>3585.8</v>
      </c>
      <c r="H36" s="323"/>
      <c r="J36"/>
      <c r="K36"/>
      <c r="L36" s="91"/>
      <c r="N36" s="83"/>
      <c r="O36" s="76" t="s">
        <v>406</v>
      </c>
      <c r="P36" s="109" t="s">
        <v>377</v>
      </c>
      <c r="Q36" s="218">
        <f t="shared" ref="Q36:Q42" si="8">Q35</f>
        <v>1000</v>
      </c>
      <c r="R36" s="218">
        <v>2.8439999999999999</v>
      </c>
      <c r="S36" s="329">
        <v>2843.8</v>
      </c>
      <c r="T36" s="323"/>
      <c r="U36" s="243"/>
      <c r="X36" s="91"/>
    </row>
    <row r="37" spans="2:24" x14ac:dyDescent="0.25">
      <c r="B37" s="83"/>
      <c r="C37" s="76" t="s">
        <v>406</v>
      </c>
      <c r="D37" s="109" t="s">
        <v>377</v>
      </c>
      <c r="E37" s="218">
        <f t="shared" si="7"/>
        <v>1000</v>
      </c>
      <c r="F37" s="218">
        <v>3.5859999999999999</v>
      </c>
      <c r="G37" s="329">
        <v>3585.8</v>
      </c>
      <c r="H37" s="322"/>
      <c r="J37"/>
      <c r="K37"/>
      <c r="L37" s="91"/>
      <c r="N37" s="83"/>
      <c r="O37" s="76" t="s">
        <v>388</v>
      </c>
      <c r="P37" s="109" t="s">
        <v>377</v>
      </c>
      <c r="Q37" s="218">
        <f t="shared" si="8"/>
        <v>1000</v>
      </c>
      <c r="R37" s="218">
        <v>10.127000000000001</v>
      </c>
      <c r="S37" s="329">
        <v>10127.299999999999</v>
      </c>
      <c r="T37" s="322"/>
      <c r="U37" s="243"/>
      <c r="X37" s="91"/>
    </row>
    <row r="38" spans="2:24" x14ac:dyDescent="0.25">
      <c r="B38" s="83"/>
      <c r="C38" s="76" t="s">
        <v>388</v>
      </c>
      <c r="D38" s="109" t="s">
        <v>377</v>
      </c>
      <c r="E38" s="218">
        <f t="shared" si="7"/>
        <v>1000</v>
      </c>
      <c r="F38" s="218">
        <v>6.093</v>
      </c>
      <c r="G38" s="329">
        <v>6092.5</v>
      </c>
      <c r="H38" s="323"/>
      <c r="J38"/>
      <c r="K38"/>
      <c r="L38" s="91"/>
      <c r="N38" s="83"/>
      <c r="O38" s="76" t="s">
        <v>390</v>
      </c>
      <c r="P38" s="109" t="s">
        <v>377</v>
      </c>
      <c r="Q38" s="218">
        <f t="shared" si="8"/>
        <v>1000</v>
      </c>
      <c r="R38" s="218">
        <v>10.127000000000001</v>
      </c>
      <c r="S38" s="329">
        <v>10127.299999999999</v>
      </c>
      <c r="T38" s="323"/>
      <c r="U38" s="243"/>
      <c r="X38" s="91"/>
    </row>
    <row r="39" spans="2:24" x14ac:dyDescent="0.25">
      <c r="B39" s="83"/>
      <c r="C39" s="76" t="s">
        <v>390</v>
      </c>
      <c r="D39" s="109" t="s">
        <v>377</v>
      </c>
      <c r="E39" s="218">
        <f t="shared" si="7"/>
        <v>1000</v>
      </c>
      <c r="F39" s="218">
        <v>6.093</v>
      </c>
      <c r="G39" s="329">
        <v>6092.5</v>
      </c>
      <c r="H39" s="322"/>
      <c r="J39"/>
      <c r="K39"/>
      <c r="L39" s="91"/>
      <c r="N39" s="83"/>
      <c r="O39" s="76" t="s">
        <v>389</v>
      </c>
      <c r="P39" s="109" t="s">
        <v>377</v>
      </c>
      <c r="Q39" s="218">
        <f t="shared" si="8"/>
        <v>1000</v>
      </c>
      <c r="R39" s="218">
        <v>6.4909999999999997</v>
      </c>
      <c r="S39" s="329">
        <v>6491</v>
      </c>
      <c r="T39" s="322"/>
      <c r="U39" s="243"/>
      <c r="X39" s="91"/>
    </row>
    <row r="40" spans="2:24" x14ac:dyDescent="0.25">
      <c r="B40" s="83"/>
      <c r="C40" s="76" t="s">
        <v>389</v>
      </c>
      <c r="D40" s="109" t="s">
        <v>377</v>
      </c>
      <c r="E40" s="218">
        <f t="shared" si="7"/>
        <v>1000</v>
      </c>
      <c r="F40" s="218">
        <v>5.52</v>
      </c>
      <c r="G40" s="329">
        <v>5520.1</v>
      </c>
      <c r="H40" s="323"/>
      <c r="J40"/>
      <c r="K40"/>
      <c r="L40" s="91"/>
      <c r="N40" s="83"/>
      <c r="O40" s="76" t="s">
        <v>391</v>
      </c>
      <c r="P40" s="109" t="s">
        <v>377</v>
      </c>
      <c r="Q40" s="218">
        <f t="shared" si="8"/>
        <v>1000</v>
      </c>
      <c r="R40" s="218">
        <v>6.4909999999999997</v>
      </c>
      <c r="S40" s="329">
        <v>6491</v>
      </c>
      <c r="T40" s="323"/>
      <c r="U40" s="243"/>
      <c r="X40" s="91"/>
    </row>
    <row r="41" spans="2:24" x14ac:dyDescent="0.25">
      <c r="B41" s="83"/>
      <c r="C41" s="76" t="s">
        <v>391</v>
      </c>
      <c r="D41" s="109" t="s">
        <v>377</v>
      </c>
      <c r="E41" s="218">
        <f t="shared" si="7"/>
        <v>1000</v>
      </c>
      <c r="F41" s="218">
        <v>5.52</v>
      </c>
      <c r="G41" s="329">
        <v>5520.1</v>
      </c>
      <c r="H41" s="322"/>
      <c r="J41"/>
      <c r="K41"/>
      <c r="L41" s="91"/>
      <c r="N41" s="83"/>
      <c r="O41" s="76" t="s">
        <v>392</v>
      </c>
      <c r="P41" s="109" t="s">
        <v>377</v>
      </c>
      <c r="Q41" s="218">
        <f t="shared" si="8"/>
        <v>1000</v>
      </c>
      <c r="R41" s="218">
        <v>1.9790000000000001</v>
      </c>
      <c r="S41" s="329">
        <v>1978.8</v>
      </c>
      <c r="T41" s="322"/>
      <c r="U41" s="243"/>
      <c r="X41" s="91"/>
    </row>
    <row r="42" spans="2:24" ht="15.75" thickBot="1" x14ac:dyDescent="0.3">
      <c r="B42" s="83"/>
      <c r="C42" s="76" t="s">
        <v>392</v>
      </c>
      <c r="D42" s="109" t="s">
        <v>377</v>
      </c>
      <c r="E42" s="218">
        <f t="shared" si="7"/>
        <v>1000</v>
      </c>
      <c r="F42" s="218">
        <v>3.9990000000000001</v>
      </c>
      <c r="G42" s="329">
        <v>3998.9</v>
      </c>
      <c r="H42" s="323"/>
      <c r="J42"/>
      <c r="K42"/>
      <c r="L42" s="91"/>
      <c r="N42" s="83"/>
      <c r="O42" s="78" t="s">
        <v>393</v>
      </c>
      <c r="P42" s="79" t="s">
        <v>377</v>
      </c>
      <c r="Q42" s="250">
        <f t="shared" si="8"/>
        <v>1000</v>
      </c>
      <c r="R42" s="250">
        <v>1.9790000000000001</v>
      </c>
      <c r="S42" s="251">
        <v>1978.8</v>
      </c>
      <c r="T42" s="323"/>
      <c r="U42" s="243"/>
      <c r="X42" s="91"/>
    </row>
    <row r="43" spans="2:24" x14ac:dyDescent="0.25">
      <c r="B43" s="83"/>
      <c r="C43" s="76" t="s">
        <v>393</v>
      </c>
      <c r="D43" s="109" t="s">
        <v>377</v>
      </c>
      <c r="E43" s="218">
        <f t="shared" si="7"/>
        <v>1000</v>
      </c>
      <c r="F43" s="218">
        <v>3.9990000000000001</v>
      </c>
      <c r="G43" s="329">
        <v>3998.9</v>
      </c>
      <c r="H43" s="322"/>
      <c r="J43"/>
      <c r="K43"/>
      <c r="L43" s="91"/>
      <c r="N43" s="83"/>
      <c r="Q43" s="243"/>
      <c r="R43" s="243"/>
      <c r="S43" s="243"/>
      <c r="T43" s="322"/>
      <c r="U43" s="243"/>
      <c r="X43" s="91"/>
    </row>
    <row r="44" spans="2:24" x14ac:dyDescent="0.25">
      <c r="B44" s="83"/>
      <c r="C44" s="76" t="s">
        <v>394</v>
      </c>
      <c r="D44" s="109" t="s">
        <v>377</v>
      </c>
      <c r="E44" s="218">
        <f t="shared" ref="E44:E45" si="9">E43</f>
        <v>1000</v>
      </c>
      <c r="F44" s="218">
        <v>1.841</v>
      </c>
      <c r="G44" s="329">
        <v>1841.1</v>
      </c>
      <c r="H44" s="323"/>
      <c r="J44"/>
      <c r="K44"/>
      <c r="L44" s="91"/>
      <c r="N44" s="83"/>
      <c r="Q44" s="243"/>
      <c r="R44" s="243"/>
      <c r="S44" s="243"/>
      <c r="T44" s="323"/>
      <c r="U44" s="243"/>
      <c r="X44" s="91"/>
    </row>
    <row r="45" spans="2:24" ht="15.75" thickBot="1" x14ac:dyDescent="0.3">
      <c r="B45" s="83"/>
      <c r="C45" s="78" t="s">
        <v>395</v>
      </c>
      <c r="D45" s="79" t="s">
        <v>377</v>
      </c>
      <c r="E45" s="250">
        <f t="shared" si="9"/>
        <v>1000</v>
      </c>
      <c r="F45" s="250">
        <v>1.841</v>
      </c>
      <c r="G45" s="251">
        <v>1841.1</v>
      </c>
      <c r="H45" s="322"/>
      <c r="J45"/>
      <c r="K45"/>
      <c r="L45" s="91"/>
      <c r="N45" s="83"/>
      <c r="T45" s="322"/>
      <c r="U45" s="243"/>
      <c r="X45" s="91"/>
    </row>
    <row r="46" spans="2:24" ht="15.75" thickBot="1" x14ac:dyDescent="0.3">
      <c r="B46" s="83"/>
      <c r="L46" s="91"/>
      <c r="N46" s="83"/>
      <c r="Q46" s="243"/>
      <c r="R46" s="243"/>
      <c r="S46" s="243"/>
      <c r="T46" s="243"/>
      <c r="U46" s="243"/>
      <c r="V46" s="243"/>
      <c r="W46" s="243"/>
      <c r="X46" s="91"/>
    </row>
    <row r="47" spans="2:24" x14ac:dyDescent="0.25">
      <c r="B47" s="83"/>
      <c r="C47" s="636" t="s">
        <v>407</v>
      </c>
      <c r="D47" s="637"/>
      <c r="E47" s="637"/>
      <c r="F47" s="637"/>
      <c r="G47" s="637"/>
      <c r="H47" s="638"/>
      <c r="L47" s="91"/>
      <c r="N47" s="83"/>
      <c r="O47" s="636" t="s">
        <v>407</v>
      </c>
      <c r="P47" s="637"/>
      <c r="Q47" s="637"/>
      <c r="R47" s="637"/>
      <c r="S47" s="637"/>
      <c r="T47" s="638"/>
      <c r="U47" s="243"/>
      <c r="V47" s="243"/>
      <c r="W47" s="243"/>
      <c r="X47" s="91"/>
    </row>
    <row r="48" spans="2:24" s="322" customFormat="1" ht="45.75" thickBot="1" x14ac:dyDescent="0.3">
      <c r="B48" s="330"/>
      <c r="C48" s="232" t="s">
        <v>408</v>
      </c>
      <c r="D48" s="85" t="s">
        <v>413</v>
      </c>
      <c r="E48" s="85" t="s">
        <v>414</v>
      </c>
      <c r="F48" s="85" t="s">
        <v>412</v>
      </c>
      <c r="G48" s="85" t="s">
        <v>410</v>
      </c>
      <c r="H48" s="86" t="s">
        <v>358</v>
      </c>
      <c r="I48" s="330" t="s">
        <v>545</v>
      </c>
      <c r="J48" s="322" t="s">
        <v>404</v>
      </c>
      <c r="K48" s="322" t="s">
        <v>403</v>
      </c>
      <c r="L48" s="331"/>
      <c r="N48" s="330"/>
      <c r="O48" s="232" t="s">
        <v>408</v>
      </c>
      <c r="P48" s="85" t="s">
        <v>413</v>
      </c>
      <c r="Q48" s="85" t="s">
        <v>414</v>
      </c>
      <c r="R48" s="85" t="s">
        <v>412</v>
      </c>
      <c r="S48" s="85" t="s">
        <v>410</v>
      </c>
      <c r="T48" s="86" t="s">
        <v>358</v>
      </c>
      <c r="U48" s="330" t="s">
        <v>545</v>
      </c>
      <c r="V48" s="322" t="s">
        <v>404</v>
      </c>
      <c r="W48" s="322" t="s">
        <v>403</v>
      </c>
      <c r="X48" s="331"/>
    </row>
    <row r="49" spans="2:25" x14ac:dyDescent="0.25">
      <c r="B49" s="83"/>
      <c r="C49" s="81" t="s">
        <v>409</v>
      </c>
      <c r="D49" s="340">
        <v>10</v>
      </c>
      <c r="E49" s="340" t="s">
        <v>415</v>
      </c>
      <c r="F49" s="433">
        <f>10*(100+50)</f>
        <v>1500</v>
      </c>
      <c r="G49" s="340">
        <v>163.517</v>
      </c>
      <c r="H49" s="341">
        <f>F49/1000/G49</f>
        <v>9.1733581217855031E-3</v>
      </c>
      <c r="I49" s="428"/>
      <c r="L49" s="91"/>
      <c r="N49" s="83"/>
      <c r="O49" s="76" t="s">
        <v>411</v>
      </c>
      <c r="P49" s="202"/>
      <c r="Q49" s="202"/>
      <c r="R49" s="434">
        <f>'Estimasi DWT'!I10*'Estimasi DWT'!AK25</f>
        <v>164.37735849056605</v>
      </c>
      <c r="S49" s="202">
        <v>24.838000000000001</v>
      </c>
      <c r="T49" s="337">
        <f t="shared" ref="T49:T51" si="10">R49/1000/S49</f>
        <v>6.6179788425221858E-3</v>
      </c>
      <c r="U49" s="428">
        <f>R49/W49</f>
        <v>20.547169811320757</v>
      </c>
      <c r="V49" s="429">
        <f>U49/R49*100%</f>
        <v>0.125</v>
      </c>
      <c r="W49" s="243">
        <v>8</v>
      </c>
      <c r="X49" s="91"/>
      <c r="Y49">
        <v>4.0309507495362397E-3</v>
      </c>
    </row>
    <row r="50" spans="2:25" x14ac:dyDescent="0.25">
      <c r="B50" s="83"/>
      <c r="C50" s="76" t="s">
        <v>411</v>
      </c>
      <c r="D50" s="202"/>
      <c r="E50" s="202"/>
      <c r="F50" s="434">
        <f>'Estimasi DWT'!C10*'Estimasi DWT'!AF25</f>
        <v>187.44452830188681</v>
      </c>
      <c r="G50" s="202">
        <v>27.852</v>
      </c>
      <c r="H50" s="337">
        <f t="shared" ref="H50:H52" si="11">F50/1000/G50</f>
        <v>6.7300204043475075E-3</v>
      </c>
      <c r="I50" s="428">
        <f>'Estimasi DWT'!C10</f>
        <v>20.827169811320758</v>
      </c>
      <c r="J50" s="429">
        <f>I50/F50*100%</f>
        <v>0.11111111111111112</v>
      </c>
      <c r="K50" s="243">
        <f>F50/I50</f>
        <v>9</v>
      </c>
      <c r="L50" s="91"/>
      <c r="N50" s="83"/>
      <c r="O50" s="76" t="s">
        <v>592</v>
      </c>
      <c r="P50" s="202">
        <v>72</v>
      </c>
      <c r="Q50" s="202" t="s">
        <v>415</v>
      </c>
      <c r="R50" s="434">
        <f>P50*(100+50)</f>
        <v>10800</v>
      </c>
      <c r="S50" s="202">
        <v>507.79199999999997</v>
      </c>
      <c r="T50" s="337">
        <f t="shared" si="10"/>
        <v>2.1268550902731831E-2</v>
      </c>
      <c r="U50" s="243">
        <v>2.12685509027318E-2</v>
      </c>
      <c r="V50" s="243"/>
      <c r="W50" s="243"/>
      <c r="X50" s="91"/>
    </row>
    <row r="51" spans="2:25" ht="15.75" thickBot="1" x14ac:dyDescent="0.3">
      <c r="B51" s="83"/>
      <c r="C51" s="76" t="s">
        <v>426</v>
      </c>
      <c r="D51" s="202">
        <v>59</v>
      </c>
      <c r="E51" s="202" t="s">
        <v>415</v>
      </c>
      <c r="F51" s="434">
        <f>D51*(100+50)</f>
        <v>8850</v>
      </c>
      <c r="G51" s="202">
        <v>361.31799999999998</v>
      </c>
      <c r="H51" s="337">
        <f t="shared" si="11"/>
        <v>2.4493659325026708E-2</v>
      </c>
      <c r="L51" s="91"/>
      <c r="N51" s="83"/>
      <c r="O51" s="78" t="s">
        <v>427</v>
      </c>
      <c r="P51" s="338">
        <v>40</v>
      </c>
      <c r="Q51" s="338" t="s">
        <v>415</v>
      </c>
      <c r="R51" s="435">
        <f>P51*(100+50)</f>
        <v>6000</v>
      </c>
      <c r="S51" s="338">
        <v>519.00800000000004</v>
      </c>
      <c r="T51" s="339">
        <f t="shared" si="10"/>
        <v>1.1560515444848634E-2</v>
      </c>
      <c r="U51" s="243">
        <v>1.1560515444848599E-2</v>
      </c>
      <c r="V51" s="243"/>
      <c r="W51" s="243"/>
      <c r="X51" s="91"/>
    </row>
    <row r="52" spans="2:25" ht="15.75" thickBot="1" x14ac:dyDescent="0.3">
      <c r="B52" s="83"/>
      <c r="C52" s="78" t="s">
        <v>427</v>
      </c>
      <c r="D52" s="338">
        <v>42</v>
      </c>
      <c r="E52" s="338" t="s">
        <v>415</v>
      </c>
      <c r="F52" s="435">
        <f>D52*(100+50)</f>
        <v>6300</v>
      </c>
      <c r="G52" s="338">
        <v>291.36099999999999</v>
      </c>
      <c r="H52" s="339">
        <f t="shared" si="11"/>
        <v>2.1622660548254572E-2</v>
      </c>
      <c r="L52" s="91"/>
      <c r="N52" s="83"/>
      <c r="Q52" s="243"/>
      <c r="R52" s="243"/>
      <c r="S52" s="243"/>
      <c r="T52" s="243"/>
      <c r="U52" s="243"/>
      <c r="V52" s="243"/>
      <c r="W52" s="243"/>
      <c r="X52" s="91"/>
    </row>
    <row r="53" spans="2:25" ht="15.75" thickBot="1" x14ac:dyDescent="0.3">
      <c r="B53" s="83"/>
      <c r="L53" s="91"/>
      <c r="N53" s="83"/>
      <c r="O53" s="269" t="s">
        <v>381</v>
      </c>
      <c r="P53" s="334">
        <f>SUM(S25:S30,S35:S42,R49:R51)/1000</f>
        <v>88.498777358490585</v>
      </c>
      <c r="Q53" s="233" t="s">
        <v>92</v>
      </c>
      <c r="R53" s="265"/>
      <c r="S53" s="243"/>
      <c r="T53" s="243"/>
      <c r="U53" s="243"/>
      <c r="V53" s="243"/>
      <c r="W53" s="243"/>
      <c r="X53" s="91"/>
    </row>
    <row r="54" spans="2:25" x14ac:dyDescent="0.25">
      <c r="B54" s="83"/>
      <c r="C54" s="269" t="s">
        <v>381</v>
      </c>
      <c r="D54" s="334">
        <f>(SUM(G25:G30,G35:G45,F49:F52))/1000</f>
        <v>74.630744528301875</v>
      </c>
      <c r="E54" s="233" t="s">
        <v>92</v>
      </c>
      <c r="F54" s="265"/>
      <c r="L54" s="91"/>
      <c r="N54" s="83"/>
      <c r="O54" s="345" t="s">
        <v>438</v>
      </c>
      <c r="P54" s="335">
        <f>D55</f>
        <v>85</v>
      </c>
      <c r="Q54" s="333" t="s">
        <v>92</v>
      </c>
      <c r="R54" s="259" t="s">
        <v>379</v>
      </c>
      <c r="S54" s="243"/>
      <c r="T54" s="243"/>
      <c r="U54" s="243"/>
      <c r="V54" s="243"/>
      <c r="W54" s="243"/>
      <c r="X54" s="91"/>
    </row>
    <row r="55" spans="2:25" ht="15.75" thickBot="1" x14ac:dyDescent="0.3">
      <c r="B55" s="83"/>
      <c r="C55" s="345" t="s">
        <v>438</v>
      </c>
      <c r="D55" s="335">
        <f>'Ukuran Utama Kapal'!E149</f>
        <v>85</v>
      </c>
      <c r="E55" s="333" t="s">
        <v>92</v>
      </c>
      <c r="F55" s="259" t="s">
        <v>379</v>
      </c>
      <c r="L55" s="91"/>
      <c r="N55" s="83"/>
      <c r="O55" s="78" t="s">
        <v>386</v>
      </c>
      <c r="P55" s="247">
        <f>(P54-P53)</f>
        <v>-3.4987773584905852</v>
      </c>
      <c r="Q55" s="251" t="s">
        <v>92</v>
      </c>
      <c r="R55" s="259"/>
      <c r="S55" s="243"/>
      <c r="T55" s="243"/>
      <c r="U55" s="243"/>
      <c r="V55" s="243"/>
      <c r="W55" s="243"/>
      <c r="X55" s="91"/>
    </row>
    <row r="56" spans="2:25" ht="15.75" thickBot="1" x14ac:dyDescent="0.3">
      <c r="B56" s="83"/>
      <c r="C56" s="78" t="s">
        <v>386</v>
      </c>
      <c r="D56" s="247">
        <f>(D55-D54)</f>
        <v>10.369255471698125</v>
      </c>
      <c r="E56" s="251" t="s">
        <v>92</v>
      </c>
      <c r="F56" s="259"/>
      <c r="L56" s="91"/>
      <c r="N56" s="166"/>
      <c r="O56" s="92"/>
      <c r="P56" s="92"/>
      <c r="Q56" s="257"/>
      <c r="R56" s="257"/>
      <c r="S56" s="257"/>
      <c r="T56" s="257"/>
      <c r="U56" s="257"/>
      <c r="V56" s="257"/>
      <c r="W56" s="257"/>
      <c r="X56" s="93"/>
    </row>
    <row r="57" spans="2:25" ht="15.75" thickBot="1" x14ac:dyDescent="0.3">
      <c r="B57" s="166"/>
      <c r="C57" s="92"/>
      <c r="D57" s="92"/>
      <c r="E57" s="257"/>
      <c r="F57" s="257"/>
      <c r="G57" s="257"/>
      <c r="H57" s="257"/>
      <c r="I57" s="257"/>
      <c r="J57" s="257"/>
      <c r="K57" s="257"/>
      <c r="L57" s="93"/>
    </row>
    <row r="58" spans="2:25" x14ac:dyDescent="0.25">
      <c r="D58" s="226"/>
    </row>
    <row r="59" spans="2:25" ht="15.75" thickBot="1" x14ac:dyDescent="0.3"/>
    <row r="60" spans="2:25" x14ac:dyDescent="0.25">
      <c r="E60" s="657" t="s">
        <v>398</v>
      </c>
      <c r="F60" s="658"/>
      <c r="G60" s="658"/>
      <c r="H60" s="659"/>
      <c r="Q60" s="657" t="s">
        <v>398</v>
      </c>
      <c r="R60" s="658"/>
      <c r="S60" s="658"/>
      <c r="T60" s="659"/>
    </row>
    <row r="61" spans="2:25" x14ac:dyDescent="0.25">
      <c r="E61" s="346"/>
      <c r="F61" s="218" t="s">
        <v>174</v>
      </c>
      <c r="G61" s="218" t="s">
        <v>91</v>
      </c>
      <c r="H61" s="329" t="s">
        <v>437</v>
      </c>
      <c r="Q61" s="346"/>
      <c r="R61" s="218" t="s">
        <v>174</v>
      </c>
      <c r="S61" s="218" t="s">
        <v>91</v>
      </c>
      <c r="T61" s="329" t="s">
        <v>437</v>
      </c>
    </row>
    <row r="62" spans="2:25" x14ac:dyDescent="0.25">
      <c r="E62" s="346" t="s">
        <v>396</v>
      </c>
      <c r="F62" s="246">
        <f>D16</f>
        <v>56</v>
      </c>
      <c r="G62" s="246">
        <f>D55</f>
        <v>85</v>
      </c>
      <c r="H62" s="347">
        <f>'Ukuran Utama Kapal'!E150</f>
        <v>168</v>
      </c>
      <c r="I62" s="344"/>
      <c r="Q62" s="346" t="s">
        <v>396</v>
      </c>
      <c r="R62" s="246">
        <f>P16</f>
        <v>56</v>
      </c>
      <c r="S62" s="246">
        <f>P54</f>
        <v>85</v>
      </c>
      <c r="T62" s="347">
        <f>'Ukuran Utama Kapal'!T151</f>
        <v>168</v>
      </c>
    </row>
    <row r="63" spans="2:25" ht="15.75" thickBot="1" x14ac:dyDescent="0.3">
      <c r="E63" s="348" t="s">
        <v>397</v>
      </c>
      <c r="F63" s="247">
        <f>D15</f>
        <v>44.134383932398983</v>
      </c>
      <c r="G63" s="247">
        <f>D54</f>
        <v>74.630744528301875</v>
      </c>
      <c r="H63" s="349">
        <f>F63+G63</f>
        <v>118.76512846070085</v>
      </c>
      <c r="Q63" s="348" t="s">
        <v>397</v>
      </c>
      <c r="R63" s="247">
        <f>P15</f>
        <v>66.320235431162601</v>
      </c>
      <c r="S63" s="247">
        <f>P53</f>
        <v>88.498777358490585</v>
      </c>
      <c r="T63" s="349">
        <f>R63+S63</f>
        <v>154.81901278965319</v>
      </c>
    </row>
  </sheetData>
  <mergeCells count="38">
    <mergeCell ref="H23:I23"/>
    <mergeCell ref="C47:H47"/>
    <mergeCell ref="E60:H60"/>
    <mergeCell ref="Q60:T60"/>
    <mergeCell ref="B2:L2"/>
    <mergeCell ref="C33:C34"/>
    <mergeCell ref="D33:D34"/>
    <mergeCell ref="E33:E34"/>
    <mergeCell ref="J23:J24"/>
    <mergeCell ref="C22:J22"/>
    <mergeCell ref="C32:G32"/>
    <mergeCell ref="F33:G33"/>
    <mergeCell ref="B3:L3"/>
    <mergeCell ref="C5:F5"/>
    <mergeCell ref="C9:D9"/>
    <mergeCell ref="B20:L20"/>
    <mergeCell ref="F23:G23"/>
    <mergeCell ref="E23:E24"/>
    <mergeCell ref="D23:D24"/>
    <mergeCell ref="C23:C24"/>
    <mergeCell ref="N2:X2"/>
    <mergeCell ref="N3:X3"/>
    <mergeCell ref="O5:R5"/>
    <mergeCell ref="O9:P9"/>
    <mergeCell ref="N20:X20"/>
    <mergeCell ref="O22:V22"/>
    <mergeCell ref="O23:O24"/>
    <mergeCell ref="P23:P24"/>
    <mergeCell ref="Q23:Q24"/>
    <mergeCell ref="R23:S23"/>
    <mergeCell ref="T23:U23"/>
    <mergeCell ref="V23:V24"/>
    <mergeCell ref="O47:T47"/>
    <mergeCell ref="O32:S32"/>
    <mergeCell ref="O33:O34"/>
    <mergeCell ref="P33:P34"/>
    <mergeCell ref="Q33:Q34"/>
    <mergeCell ref="R33:S33"/>
  </mergeCells>
  <phoneticPr fontId="3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7A850-1367-4FD3-A0E1-59899E78DD04}">
  <sheetPr>
    <tabColor rgb="FF00B050"/>
  </sheetPr>
  <dimension ref="B1:AI22"/>
  <sheetViews>
    <sheetView tabSelected="1" zoomScale="85" zoomScaleNormal="85" workbookViewId="0">
      <selection activeCell="N4" sqref="N4:N5"/>
    </sheetView>
  </sheetViews>
  <sheetFormatPr defaultColWidth="8.85546875" defaultRowHeight="15" x14ac:dyDescent="0.25"/>
  <cols>
    <col min="1" max="1" width="8.85546875" style="245"/>
    <col min="2" max="2" width="3.7109375" style="245" bestFit="1" customWidth="1"/>
    <col min="3" max="3" width="23.5703125" style="336" bestFit="1" customWidth="1"/>
    <col min="4" max="5" width="8.85546875" style="244" customWidth="1"/>
    <col min="6" max="10" width="8.85546875" style="343" customWidth="1"/>
    <col min="11" max="11" width="12.140625" style="343" customWidth="1"/>
    <col min="12" max="12" width="3.7109375" bestFit="1" customWidth="1"/>
    <col min="13" max="13" width="31.28515625" bestFit="1" customWidth="1"/>
    <col min="14" max="15" width="14.42578125" customWidth="1"/>
    <col min="16" max="20" width="12.140625" customWidth="1"/>
    <col min="21" max="35" width="9.140625" customWidth="1"/>
    <col min="36" max="16384" width="8.85546875" style="245"/>
  </cols>
  <sheetData>
    <row r="1" spans="2:35" ht="15.75" thickBot="1" x14ac:dyDescent="0.3"/>
    <row r="2" spans="2:35" ht="19.5" thickBot="1" x14ac:dyDescent="0.3">
      <c r="B2" s="668" t="s">
        <v>439</v>
      </c>
      <c r="C2" s="669"/>
      <c r="D2" s="669"/>
      <c r="E2" s="669"/>
      <c r="F2" s="669"/>
      <c r="G2" s="669"/>
      <c r="H2" s="669"/>
      <c r="I2" s="669"/>
      <c r="J2" s="670"/>
      <c r="K2" s="436"/>
      <c r="L2" s="681" t="s">
        <v>594</v>
      </c>
      <c r="M2" s="682"/>
      <c r="N2" s="682"/>
      <c r="O2" s="682"/>
      <c r="P2" s="682"/>
      <c r="Q2" s="682"/>
      <c r="R2" s="682"/>
      <c r="S2" s="682"/>
      <c r="T2" s="683"/>
    </row>
    <row r="3" spans="2:35" s="321" customFormat="1" ht="14.45" customHeight="1" x14ac:dyDescent="0.25">
      <c r="B3" s="663" t="s">
        <v>1</v>
      </c>
      <c r="C3" s="674" t="s">
        <v>416</v>
      </c>
      <c r="D3" s="671" t="s">
        <v>417</v>
      </c>
      <c r="E3" s="671"/>
      <c r="F3" s="672" t="s">
        <v>420</v>
      </c>
      <c r="G3" s="672"/>
      <c r="H3" s="672"/>
      <c r="I3" s="672"/>
      <c r="J3" s="673"/>
      <c r="K3" s="342"/>
      <c r="L3" s="684" t="s">
        <v>1</v>
      </c>
      <c r="M3" s="687" t="s">
        <v>416</v>
      </c>
      <c r="N3" s="690" t="s">
        <v>417</v>
      </c>
      <c r="O3" s="690"/>
      <c r="P3" s="691" t="s">
        <v>420</v>
      </c>
      <c r="Q3" s="691"/>
      <c r="R3" s="691"/>
      <c r="S3" s="691"/>
      <c r="T3" s="692"/>
    </row>
    <row r="4" spans="2:35" s="321" customFormat="1" ht="14.45" customHeight="1" x14ac:dyDescent="0.25">
      <c r="B4" s="664"/>
      <c r="C4" s="675"/>
      <c r="D4" s="677" t="s">
        <v>419</v>
      </c>
      <c r="E4" s="677" t="s">
        <v>418</v>
      </c>
      <c r="F4" s="465" t="s">
        <v>421</v>
      </c>
      <c r="G4" s="465" t="s">
        <v>422</v>
      </c>
      <c r="H4" s="465" t="s">
        <v>423</v>
      </c>
      <c r="I4" s="465" t="s">
        <v>424</v>
      </c>
      <c r="J4" s="466" t="s">
        <v>206</v>
      </c>
      <c r="K4" s="342"/>
      <c r="L4" s="685"/>
      <c r="M4" s="688"/>
      <c r="N4" s="558" t="s">
        <v>419</v>
      </c>
      <c r="O4" s="558" t="s">
        <v>418</v>
      </c>
      <c r="P4" s="441" t="s">
        <v>421</v>
      </c>
      <c r="Q4" s="441" t="s">
        <v>422</v>
      </c>
      <c r="R4" s="441" t="s">
        <v>423</v>
      </c>
      <c r="S4" s="441" t="s">
        <v>424</v>
      </c>
      <c r="T4" s="442" t="s">
        <v>206</v>
      </c>
    </row>
    <row r="5" spans="2:35" s="321" customFormat="1" ht="64.5" thickBot="1" x14ac:dyDescent="0.3">
      <c r="B5" s="665"/>
      <c r="C5" s="676"/>
      <c r="D5" s="678"/>
      <c r="E5" s="678"/>
      <c r="F5" s="467" t="s">
        <v>571</v>
      </c>
      <c r="G5" s="468" t="s">
        <v>570</v>
      </c>
      <c r="H5" s="468" t="s">
        <v>575</v>
      </c>
      <c r="I5" s="468" t="s">
        <v>576</v>
      </c>
      <c r="J5" s="469" t="s">
        <v>577</v>
      </c>
      <c r="K5" s="437"/>
      <c r="L5" s="686"/>
      <c r="M5" s="689"/>
      <c r="N5" s="693"/>
      <c r="O5" s="693"/>
      <c r="P5" s="443" t="s">
        <v>571</v>
      </c>
      <c r="Q5" s="444" t="s">
        <v>570</v>
      </c>
      <c r="R5" s="444" t="s">
        <v>575</v>
      </c>
      <c r="S5" s="444" t="s">
        <v>576</v>
      </c>
      <c r="T5" s="445" t="s">
        <v>577</v>
      </c>
    </row>
    <row r="6" spans="2:35" x14ac:dyDescent="0.25">
      <c r="B6" s="470">
        <v>1</v>
      </c>
      <c r="C6" s="471" t="s">
        <v>425</v>
      </c>
      <c r="D6" s="472"/>
      <c r="E6" s="473">
        <f>'INPUT STABILITY MAXSURF'!D15</f>
        <v>44.134383932398983</v>
      </c>
      <c r="F6" s="474">
        <v>1</v>
      </c>
      <c r="G6" s="474">
        <v>1</v>
      </c>
      <c r="H6" s="474">
        <v>1</v>
      </c>
      <c r="I6" s="474">
        <v>1</v>
      </c>
      <c r="J6" s="475">
        <v>1</v>
      </c>
      <c r="L6" s="439">
        <v>1</v>
      </c>
      <c r="M6" s="446" t="s">
        <v>425</v>
      </c>
      <c r="N6" s="447"/>
      <c r="O6" s="448">
        <f>'INPUT STABILITY MAXSURF'!P15</f>
        <v>66.320235431162601</v>
      </c>
      <c r="P6" s="449">
        <v>1</v>
      </c>
      <c r="Q6" s="449">
        <v>1</v>
      </c>
      <c r="R6" s="449">
        <v>1</v>
      </c>
      <c r="S6" s="449">
        <v>1</v>
      </c>
      <c r="T6" s="450">
        <v>1</v>
      </c>
    </row>
    <row r="7" spans="2:35" x14ac:dyDescent="0.25">
      <c r="B7" s="476">
        <v>2</v>
      </c>
      <c r="C7" s="477" t="s">
        <v>409</v>
      </c>
      <c r="D7" s="478">
        <f>'INPUT STABILITY MAXSURF'!G49</f>
        <v>163.517</v>
      </c>
      <c r="E7" s="478">
        <f>'INPUT STABILITY MAXSURF'!F49/1000</f>
        <v>1.5</v>
      </c>
      <c r="F7" s="479">
        <v>0</v>
      </c>
      <c r="G7" s="479">
        <v>1</v>
      </c>
      <c r="H7" s="479">
        <v>1</v>
      </c>
      <c r="I7" s="479">
        <v>1</v>
      </c>
      <c r="J7" s="480">
        <v>1</v>
      </c>
      <c r="L7" s="440">
        <v>2</v>
      </c>
      <c r="M7" s="451" t="s">
        <v>592</v>
      </c>
      <c r="N7" s="452">
        <f>'INPUT STABILITY MAXSURF'!S50</f>
        <v>507.79199999999997</v>
      </c>
      <c r="O7" s="452">
        <f>'INPUT STABILITY MAXSURF'!R50/1000</f>
        <v>10.8</v>
      </c>
      <c r="P7" s="453">
        <v>0</v>
      </c>
      <c r="Q7" s="453">
        <v>1</v>
      </c>
      <c r="R7" s="453">
        <f>(10/'INPUT STABILITY MAXSURF'!P50)*100%</f>
        <v>0.1388888888888889</v>
      </c>
      <c r="S7" s="453">
        <v>1</v>
      </c>
      <c r="T7" s="454">
        <v>1</v>
      </c>
      <c r="AA7" s="245"/>
      <c r="AB7" s="245"/>
      <c r="AC7" s="245"/>
      <c r="AD7" s="245"/>
      <c r="AE7" s="245"/>
      <c r="AF7" s="245"/>
      <c r="AG7" s="245"/>
      <c r="AH7" s="245"/>
      <c r="AI7" s="245"/>
    </row>
    <row r="8" spans="2:35" x14ac:dyDescent="0.25">
      <c r="B8" s="476">
        <v>3</v>
      </c>
      <c r="C8" s="477" t="s">
        <v>426</v>
      </c>
      <c r="D8" s="478">
        <f>'INPUT STABILITY MAXSURF'!G51</f>
        <v>361.31799999999998</v>
      </c>
      <c r="E8" s="478">
        <f>'INPUT STABILITY MAXSURF'!F51/1000</f>
        <v>8.85</v>
      </c>
      <c r="F8" s="479">
        <v>0</v>
      </c>
      <c r="G8" s="479">
        <v>1</v>
      </c>
      <c r="H8" s="479">
        <v>0</v>
      </c>
      <c r="I8" s="479">
        <v>1</v>
      </c>
      <c r="J8" s="480">
        <v>1</v>
      </c>
      <c r="L8" s="440">
        <v>3</v>
      </c>
      <c r="M8" s="451" t="s">
        <v>427</v>
      </c>
      <c r="N8" s="452">
        <f>'INPUT STABILITY MAXSURF'!S51</f>
        <v>519.00800000000004</v>
      </c>
      <c r="O8" s="452">
        <f>'INPUT STABILITY MAXSURF'!R51/1000</f>
        <v>6</v>
      </c>
      <c r="P8" s="453">
        <v>0</v>
      </c>
      <c r="Q8" s="453">
        <v>1</v>
      </c>
      <c r="R8" s="453">
        <v>0</v>
      </c>
      <c r="S8" s="453">
        <v>1</v>
      </c>
      <c r="T8" s="454">
        <v>1</v>
      </c>
    </row>
    <row r="9" spans="2:35" x14ac:dyDescent="0.25">
      <c r="B9" s="476">
        <v>4</v>
      </c>
      <c r="C9" s="477" t="s">
        <v>427</v>
      </c>
      <c r="D9" s="478">
        <f>'INPUT STABILITY MAXSURF'!G52</f>
        <v>291.36099999999999</v>
      </c>
      <c r="E9" s="478">
        <f>'INPUT STABILITY MAXSURF'!F52/1000</f>
        <v>6.3</v>
      </c>
      <c r="F9" s="479">
        <v>0</v>
      </c>
      <c r="G9" s="479">
        <v>1</v>
      </c>
      <c r="H9" s="479">
        <v>0</v>
      </c>
      <c r="I9" s="479">
        <v>1</v>
      </c>
      <c r="J9" s="480">
        <v>1</v>
      </c>
      <c r="L9" s="440">
        <v>4</v>
      </c>
      <c r="M9" s="451" t="s">
        <v>411</v>
      </c>
      <c r="N9" s="452">
        <f>'INPUT STABILITY MAXSURF'!S49</f>
        <v>24.838000000000001</v>
      </c>
      <c r="O9" s="452">
        <f>'INPUT STABILITY MAXSURF'!R49/1000</f>
        <v>0.16437735849056606</v>
      </c>
      <c r="P9" s="453">
        <v>0</v>
      </c>
      <c r="Q9" s="453">
        <v>1</v>
      </c>
      <c r="R9" s="453">
        <f>Q9-'INPUT STABILITY MAXSURF'!V49</f>
        <v>0.875</v>
      </c>
      <c r="S9" s="453">
        <f>Q9-(4.5*'INPUT STABILITY MAXSURF'!V49)</f>
        <v>0.4375</v>
      </c>
      <c r="T9" s="454">
        <f>Q9-(7*'INPUT STABILITY MAXSURF'!V49)</f>
        <v>0.125</v>
      </c>
    </row>
    <row r="10" spans="2:35" x14ac:dyDescent="0.25">
      <c r="B10" s="476">
        <v>5</v>
      </c>
      <c r="C10" s="477" t="s">
        <v>411</v>
      </c>
      <c r="D10" s="478">
        <f>'INPUT STABILITY MAXSURF'!G50</f>
        <v>27.852</v>
      </c>
      <c r="E10" s="478">
        <f>'INPUT STABILITY MAXSURF'!F50/1000</f>
        <v>0.18744452830188679</v>
      </c>
      <c r="F10" s="479">
        <v>0</v>
      </c>
      <c r="G10" s="479">
        <v>1</v>
      </c>
      <c r="H10" s="479">
        <f>G10-'INPUT STABILITY MAXSURF'!J50</f>
        <v>0.88888888888888884</v>
      </c>
      <c r="I10" s="479">
        <f>G10-(4.5*'INPUT STABILITY MAXSURF'!J50)</f>
        <v>0.5</v>
      </c>
      <c r="J10" s="480">
        <f>G10-(8*'INPUT STABILITY MAXSURF'!J50)</f>
        <v>0.11111111111111105</v>
      </c>
      <c r="L10" s="440">
        <v>5</v>
      </c>
      <c r="M10" s="317" t="s">
        <v>428</v>
      </c>
      <c r="N10" s="452">
        <f>'INPUT STABILITY MAXSURF'!R25+'INPUT STABILITY MAXSURF'!R26</f>
        <v>1.1200000000000001</v>
      </c>
      <c r="O10" s="452">
        <f>('INPUT STABILITY MAXSURF'!S25+'INPUT STABILITY MAXSURF'!S26)/1000</f>
        <v>1.0569999999999999</v>
      </c>
      <c r="P10" s="453">
        <v>0</v>
      </c>
      <c r="Q10" s="453">
        <v>1</v>
      </c>
      <c r="R10" s="453">
        <f>Q10-'INPUT STABILITY MAXSURF'!U25</f>
        <v>0.88487478671260722</v>
      </c>
      <c r="S10" s="453">
        <f>Q10-(4.5*'INPUT STABILITY MAXSURF'!U25)</f>
        <v>0.48193654020673271</v>
      </c>
      <c r="T10" s="454">
        <f>Q10-(7*'INPUT STABILITY MAXSURF'!U25)</f>
        <v>0.19412350698825087</v>
      </c>
    </row>
    <row r="11" spans="2:35" x14ac:dyDescent="0.25">
      <c r="B11" s="476">
        <v>6</v>
      </c>
      <c r="C11" s="481" t="s">
        <v>428</v>
      </c>
      <c r="D11" s="478">
        <f>'INPUT STABILITY MAXSURF'!F25+'INPUT STABILITY MAXSURF'!F26</f>
        <v>1.1200000000000001</v>
      </c>
      <c r="E11" s="478">
        <f>('INPUT STABILITY MAXSURF'!G25+'INPUT STABILITY MAXSURF'!G26)/1000</f>
        <v>1.0584</v>
      </c>
      <c r="F11" s="479">
        <v>0</v>
      </c>
      <c r="G11" s="479">
        <v>1</v>
      </c>
      <c r="H11" s="479">
        <f>G11-('INPUT STABILITY MAXSURF'!I25)</f>
        <v>0.89176882191497076</v>
      </c>
      <c r="I11" s="479">
        <f>G11-(4.5*'INPUT STABILITY MAXSURF'!I25)</f>
        <v>0.51295969861736834</v>
      </c>
      <c r="J11" s="480">
        <f>G11-(8*'INPUT STABILITY MAXSURF'!I25)</f>
        <v>0.13415057531976582</v>
      </c>
      <c r="L11" s="440">
        <v>6</v>
      </c>
      <c r="M11" s="317" t="s">
        <v>429</v>
      </c>
      <c r="N11" s="452">
        <f>'INPUT STABILITY MAXSURF'!R27+'INPUT STABILITY MAXSURF'!R28</f>
        <v>1.204</v>
      </c>
      <c r="O11" s="452">
        <f>('INPUT STABILITY MAXSURF'!S27+'INPUT STABILITY MAXSURF'!S28)/1000</f>
        <v>1.1072</v>
      </c>
      <c r="P11" s="453">
        <v>0</v>
      </c>
      <c r="Q11" s="453">
        <v>1</v>
      </c>
      <c r="R11" s="455">
        <f>Q11-'INPUT STABILITY MAXSURF'!U27</f>
        <v>0.99898192208460579</v>
      </c>
      <c r="S11" s="455">
        <f>Q11-(4.5*'INPUT STABILITY MAXSURF'!U27)</f>
        <v>0.99541864938072577</v>
      </c>
      <c r="T11" s="456">
        <f>Q11-(7*'INPUT STABILITY MAXSURF'!U27)</f>
        <v>0.99287345459224019</v>
      </c>
    </row>
    <row r="12" spans="2:35" x14ac:dyDescent="0.25">
      <c r="B12" s="476">
        <v>7</v>
      </c>
      <c r="C12" s="481" t="s">
        <v>429</v>
      </c>
      <c r="D12" s="478">
        <f>'INPUT STABILITY MAXSURF'!F27+'INPUT STABILITY MAXSURF'!F28</f>
        <v>0.61</v>
      </c>
      <c r="E12" s="478">
        <f>('INPUT STABILITY MAXSURF'!G27+'INPUT STABILITY MAXSURF'!G28)/1000</f>
        <v>0.56120000000000003</v>
      </c>
      <c r="F12" s="479">
        <v>0</v>
      </c>
      <c r="G12" s="479">
        <v>1</v>
      </c>
      <c r="H12" s="482">
        <f>G12-'INPUT STABILITY MAXSURF'!I27</f>
        <v>0.99849677844981777</v>
      </c>
      <c r="I12" s="482">
        <f>G12-(4.5*'INPUT STABILITY MAXSURF'!I27)</f>
        <v>0.99323550302417996</v>
      </c>
      <c r="J12" s="483">
        <f>G12-(8*'INPUT STABILITY MAXSURF'!I27)</f>
        <v>0.98797422759854225</v>
      </c>
      <c r="K12" s="438"/>
      <c r="L12" s="440">
        <v>7</v>
      </c>
      <c r="M12" s="317" t="s">
        <v>430</v>
      </c>
      <c r="N12" s="452">
        <f>'INPUT STABILITY MAXSURF'!R29+'INPUT STABILITY MAXSURF'!R30</f>
        <v>26.488</v>
      </c>
      <c r="O12" s="452">
        <f>('INPUT STABILITY MAXSURF'!S29+'INPUT STABILITY MAXSURF'!S30)/1000</f>
        <v>26.488400000000002</v>
      </c>
      <c r="P12" s="453">
        <v>0</v>
      </c>
      <c r="Q12" s="453">
        <v>1</v>
      </c>
      <c r="R12" s="455">
        <f>Q12-'INPUT STABILITY MAXSURF'!U29</f>
        <v>0.96121477739062988</v>
      </c>
      <c r="S12" s="455">
        <f>Q12-(4.5*'INPUT STABILITY MAXSURF'!U29)</f>
        <v>0.82546649825783469</v>
      </c>
      <c r="T12" s="456">
        <f>Q12-(7*'INPUT STABILITY MAXSURF'!U29)</f>
        <v>0.72850344173440962</v>
      </c>
    </row>
    <row r="13" spans="2:35" x14ac:dyDescent="0.25">
      <c r="B13" s="476">
        <v>8</v>
      </c>
      <c r="C13" s="481" t="s">
        <v>430</v>
      </c>
      <c r="D13" s="478">
        <f>'INPUT STABILITY MAXSURF'!F29+'INPUT STABILITY MAXSURF'!F30</f>
        <v>12.332000000000001</v>
      </c>
      <c r="E13" s="478">
        <f>('INPUT STABILITY MAXSURF'!G29+'INPUT STABILITY MAXSURF'!G30)/1000</f>
        <v>12.331</v>
      </c>
      <c r="F13" s="479">
        <v>0</v>
      </c>
      <c r="G13" s="479">
        <v>1</v>
      </c>
      <c r="H13" s="482">
        <f>G13-'INPUT STABILITY MAXSURF'!I29</f>
        <v>0.95649147979551463</v>
      </c>
      <c r="I13" s="482">
        <f>G13-(4.5*'INPUT STABILITY MAXSURF'!I29)</f>
        <v>0.80421165907981562</v>
      </c>
      <c r="J13" s="483">
        <f>G13-(8*'INPUT STABILITY MAXSURF'!I29)</f>
        <v>0.65193183836411672</v>
      </c>
      <c r="K13" s="438"/>
      <c r="L13" s="440">
        <v>8</v>
      </c>
      <c r="M13" s="451" t="s">
        <v>432</v>
      </c>
      <c r="N13" s="457">
        <f>('INPUT STABILITY MAXSURF'!R35+'INPUT STABILITY MAXSURF'!R36)</f>
        <v>5.6879999999999997</v>
      </c>
      <c r="O13" s="457">
        <f>('INPUT STABILITY MAXSURF'!S35+'INPUT STABILITY MAXSURF'!S36)/1000</f>
        <v>5.6876000000000007</v>
      </c>
      <c r="P13" s="453">
        <v>0</v>
      </c>
      <c r="Q13" s="453">
        <v>0.75</v>
      </c>
      <c r="R13" s="453">
        <v>1</v>
      </c>
      <c r="S13" s="453">
        <v>0.75</v>
      </c>
      <c r="T13" s="453">
        <v>0.75</v>
      </c>
    </row>
    <row r="14" spans="2:35" ht="14.45" customHeight="1" x14ac:dyDescent="0.25">
      <c r="B14" s="476">
        <v>9</v>
      </c>
      <c r="C14" s="477" t="s">
        <v>431</v>
      </c>
      <c r="D14" s="484">
        <f>'INPUT STABILITY MAXSURF'!F35</f>
        <v>1.766</v>
      </c>
      <c r="E14" s="484">
        <f>'INPUT STABILITY MAXSURF'!G35/1000</f>
        <v>1.7659</v>
      </c>
      <c r="F14" s="479">
        <v>0</v>
      </c>
      <c r="G14" s="479">
        <v>0.75</v>
      </c>
      <c r="H14" s="479">
        <v>1</v>
      </c>
      <c r="I14" s="479">
        <v>0.75</v>
      </c>
      <c r="J14" s="480">
        <v>0.75</v>
      </c>
      <c r="L14" s="440">
        <v>9</v>
      </c>
      <c r="M14" s="451" t="s">
        <v>433</v>
      </c>
      <c r="N14" s="457">
        <f>('INPUT STABILITY MAXSURF'!R37+'INPUT STABILITY MAXSURF'!R38)</f>
        <v>20.254000000000001</v>
      </c>
      <c r="O14" s="457">
        <f>('INPUT STABILITY MAXSURF'!S37+'INPUT STABILITY MAXSURF'!S38)/1000</f>
        <v>20.2546</v>
      </c>
      <c r="P14" s="453">
        <v>0</v>
      </c>
      <c r="Q14" s="453">
        <v>0.75</v>
      </c>
      <c r="R14" s="453">
        <v>1</v>
      </c>
      <c r="S14" s="453">
        <v>0.75</v>
      </c>
      <c r="T14" s="453">
        <v>0.75</v>
      </c>
    </row>
    <row r="15" spans="2:35" x14ac:dyDescent="0.25">
      <c r="B15" s="476">
        <v>10</v>
      </c>
      <c r="C15" s="477" t="s">
        <v>432</v>
      </c>
      <c r="D15" s="484">
        <f>'INPUT STABILITY MAXSURF'!F36+'INPUT STABILITY MAXSURF'!F37</f>
        <v>7.1719999999999997</v>
      </c>
      <c r="E15" s="484">
        <f>('INPUT STABILITY MAXSURF'!G36+'INPUT STABILITY MAXSURF'!G37)/1000</f>
        <v>7.1716000000000006</v>
      </c>
      <c r="F15" s="479">
        <v>0</v>
      </c>
      <c r="G15" s="479">
        <v>0.75</v>
      </c>
      <c r="H15" s="479">
        <v>1</v>
      </c>
      <c r="I15" s="479">
        <v>0.75</v>
      </c>
      <c r="J15" s="480">
        <v>0.75</v>
      </c>
      <c r="L15" s="440">
        <v>10</v>
      </c>
      <c r="M15" s="451" t="s">
        <v>434</v>
      </c>
      <c r="N15" s="457">
        <f>('INPUT STABILITY MAXSURF'!R39+'INPUT STABILITY MAXSURF'!R40)</f>
        <v>12.981999999999999</v>
      </c>
      <c r="O15" s="457">
        <f>('INPUT STABILITY MAXSURF'!S39+'INPUT STABILITY MAXSURF'!S40)/1000</f>
        <v>12.981999999999999</v>
      </c>
      <c r="P15" s="453">
        <v>0</v>
      </c>
      <c r="Q15" s="453">
        <v>0.75</v>
      </c>
      <c r="R15" s="453">
        <v>1</v>
      </c>
      <c r="S15" s="453">
        <v>0.75</v>
      </c>
      <c r="T15" s="453">
        <v>0.75</v>
      </c>
    </row>
    <row r="16" spans="2:35" x14ac:dyDescent="0.25">
      <c r="B16" s="476">
        <v>11</v>
      </c>
      <c r="C16" s="477" t="s">
        <v>433</v>
      </c>
      <c r="D16" s="484">
        <f>'INPUT STABILITY MAXSURF'!F38+'INPUT STABILITY MAXSURF'!F39</f>
        <v>12.186</v>
      </c>
      <c r="E16" s="484">
        <f>('INPUT STABILITY MAXSURF'!G38+'INPUT STABILITY MAXSURF'!G39)/1000</f>
        <v>12.185</v>
      </c>
      <c r="F16" s="479">
        <v>0</v>
      </c>
      <c r="G16" s="479">
        <v>0.75</v>
      </c>
      <c r="H16" s="479">
        <v>1</v>
      </c>
      <c r="I16" s="479">
        <v>0.75</v>
      </c>
      <c r="J16" s="480">
        <v>0.75</v>
      </c>
      <c r="L16" s="440">
        <v>11</v>
      </c>
      <c r="M16" s="451" t="s">
        <v>435</v>
      </c>
      <c r="N16" s="457">
        <f>('INPUT STABILITY MAXSURF'!R41+'INPUT STABILITY MAXSURF'!R42)</f>
        <v>3.9580000000000002</v>
      </c>
      <c r="O16" s="457">
        <f>('INPUT STABILITY MAXSURF'!S41+'INPUT STABILITY MAXSURF'!S42)/1000</f>
        <v>3.9575999999999998</v>
      </c>
      <c r="P16" s="453">
        <v>0</v>
      </c>
      <c r="Q16" s="453">
        <v>0.75</v>
      </c>
      <c r="R16" s="453">
        <v>1</v>
      </c>
      <c r="S16" s="453">
        <v>0.75</v>
      </c>
      <c r="T16" s="453">
        <v>0.75</v>
      </c>
    </row>
    <row r="17" spans="2:20" ht="15.75" thickBot="1" x14ac:dyDescent="0.3">
      <c r="B17" s="476">
        <v>12</v>
      </c>
      <c r="C17" s="477" t="s">
        <v>434</v>
      </c>
      <c r="D17" s="484">
        <f>'INPUT STABILITY MAXSURF'!F40+'INPUT STABILITY MAXSURF'!F41</f>
        <v>11.04</v>
      </c>
      <c r="E17" s="484">
        <f>('INPUT STABILITY MAXSURF'!G40+'INPUT STABILITY MAXSURF'!G41)/1000</f>
        <v>11.0402</v>
      </c>
      <c r="F17" s="479">
        <v>0</v>
      </c>
      <c r="G17" s="479">
        <v>0.75</v>
      </c>
      <c r="H17" s="479">
        <v>1</v>
      </c>
      <c r="I17" s="479">
        <v>0.75</v>
      </c>
      <c r="J17" s="480">
        <v>0.75</v>
      </c>
      <c r="L17" s="679" t="s">
        <v>593</v>
      </c>
      <c r="M17" s="680"/>
      <c r="N17" s="458"/>
      <c r="O17" s="459">
        <f>SUM(O6:O16)</f>
        <v>154.81901278965319</v>
      </c>
      <c r="P17" s="110"/>
      <c r="Q17" s="110"/>
      <c r="R17" s="110"/>
      <c r="S17" s="110"/>
      <c r="T17" s="110"/>
    </row>
    <row r="18" spans="2:20" x14ac:dyDescent="0.25">
      <c r="B18" s="476">
        <v>13</v>
      </c>
      <c r="C18" s="477" t="s">
        <v>435</v>
      </c>
      <c r="D18" s="484">
        <f>'INPUT STABILITY MAXSURF'!F42+'INPUT STABILITY MAXSURF'!F43</f>
        <v>7.9980000000000002</v>
      </c>
      <c r="E18" s="484">
        <f>('INPUT STABILITY MAXSURF'!G42+'INPUT STABILITY MAXSURF'!G43)/1000</f>
        <v>7.9977999999999998</v>
      </c>
      <c r="F18" s="479">
        <v>0</v>
      </c>
      <c r="G18" s="479">
        <v>0.75</v>
      </c>
      <c r="H18" s="479">
        <v>1</v>
      </c>
      <c r="I18" s="479">
        <v>0.75</v>
      </c>
      <c r="J18" s="480">
        <v>0.75</v>
      </c>
    </row>
    <row r="19" spans="2:20" ht="15.75" thickBot="1" x14ac:dyDescent="0.3">
      <c r="B19" s="485">
        <v>14</v>
      </c>
      <c r="C19" s="486" t="s">
        <v>436</v>
      </c>
      <c r="D19" s="487">
        <f>'INPUT STABILITY MAXSURF'!F44+'INPUT STABILITY MAXSURF'!F45</f>
        <v>3.6819999999999999</v>
      </c>
      <c r="E19" s="487">
        <f>('INPUT STABILITY MAXSURF'!G44+'INPUT STABILITY MAXSURF'!G45)/1000</f>
        <v>3.6821999999999999</v>
      </c>
      <c r="F19" s="488">
        <v>0</v>
      </c>
      <c r="G19" s="488">
        <v>0.75</v>
      </c>
      <c r="H19" s="488">
        <v>1</v>
      </c>
      <c r="I19" s="488">
        <v>0.75</v>
      </c>
      <c r="J19" s="489">
        <v>0.75</v>
      </c>
      <c r="P19" s="342"/>
      <c r="Q19" s="342"/>
      <c r="R19" s="342"/>
      <c r="S19" s="342"/>
      <c r="T19" s="342"/>
    </row>
    <row r="20" spans="2:20" ht="15.75" thickBot="1" x14ac:dyDescent="0.3">
      <c r="B20" s="462"/>
      <c r="C20" s="463"/>
      <c r="D20" s="464"/>
      <c r="E20" s="464"/>
      <c r="P20" s="342"/>
      <c r="Q20" s="342"/>
      <c r="R20" s="342"/>
      <c r="S20" s="342"/>
      <c r="T20" s="342"/>
    </row>
    <row r="21" spans="2:20" s="321" customFormat="1" ht="15.75" thickBot="1" x14ac:dyDescent="0.3">
      <c r="B21" s="666" t="s">
        <v>601</v>
      </c>
      <c r="C21" s="667"/>
      <c r="D21" s="423"/>
      <c r="E21" s="424">
        <f>SUM(E6:E19)</f>
        <v>118.76512846070086</v>
      </c>
      <c r="F21" s="342"/>
      <c r="G21" s="342"/>
      <c r="H21" s="342"/>
      <c r="I21" s="342"/>
      <c r="J21" s="342"/>
      <c r="K21" s="342"/>
    </row>
    <row r="22" spans="2:20" ht="14.45" customHeight="1" x14ac:dyDescent="0.25">
      <c r="O22" s="226"/>
    </row>
  </sheetData>
  <mergeCells count="16">
    <mergeCell ref="L17:M17"/>
    <mergeCell ref="L2:T2"/>
    <mergeCell ref="L3:L5"/>
    <mergeCell ref="M3:M5"/>
    <mergeCell ref="N3:O3"/>
    <mergeCell ref="P3:T3"/>
    <mergeCell ref="N4:N5"/>
    <mergeCell ref="O4:O5"/>
    <mergeCell ref="B3:B5"/>
    <mergeCell ref="B21:C21"/>
    <mergeCell ref="B2:J2"/>
    <mergeCell ref="D3:E3"/>
    <mergeCell ref="F3:J3"/>
    <mergeCell ref="C3:C5"/>
    <mergeCell ref="D4:D5"/>
    <mergeCell ref="E4:E5"/>
  </mergeCells>
  <phoneticPr fontId="30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Sheet1</vt:lpstr>
      <vt:lpstr>Ukuran Utama Kapal</vt:lpstr>
      <vt:lpstr>Hydrostatics (Maxsurf)</vt:lpstr>
      <vt:lpstr>Resistance (maxsurf)</vt:lpstr>
      <vt:lpstr>Resistance (Manual)</vt:lpstr>
      <vt:lpstr>Estimasi DWT</vt:lpstr>
      <vt:lpstr>Estimasi LWT</vt:lpstr>
      <vt:lpstr>INPUT STABILITY MAXSURF</vt:lpstr>
      <vt:lpstr>LOADCASE</vt:lpstr>
      <vt:lpstr>GRAFIK STABILITAS</vt:lpstr>
      <vt:lpstr>LOADCASE I</vt:lpstr>
      <vt:lpstr>LOADCASE II</vt:lpstr>
      <vt:lpstr>LOADCASE III</vt:lpstr>
      <vt:lpstr>LOADCASE IV</vt:lpstr>
      <vt:lpstr>LOADCASE V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4412001018 _Gestra Arya Saputra</dc:creator>
  <cp:lastModifiedBy>LENOVO</cp:lastModifiedBy>
  <dcterms:created xsi:type="dcterms:W3CDTF">2024-07-20T10:31:42Z</dcterms:created>
  <dcterms:modified xsi:type="dcterms:W3CDTF">2025-01-06T17:40:07Z</dcterms:modified>
</cp:coreProperties>
</file>